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G:\Controllermaterial\3. Kvartalsdata\Key Data\"/>
    </mc:Choice>
  </mc:AlternateContent>
  <xr:revisionPtr revIDLastSave="0" documentId="13_ncr:1_{52196E3D-8372-401C-933F-9784CE233156}" xr6:coauthVersionLast="47" xr6:coauthVersionMax="47" xr10:uidLastSave="{00000000-0000-0000-0000-000000000000}"/>
  <bookViews>
    <workbookView xWindow="-120" yWindow="-120" windowWidth="29040" windowHeight="15720" tabRatio="640" xr2:uid="{1C793F10-2CD2-4E5C-9980-07F078A7FE6D}"/>
  </bookViews>
  <sheets>
    <sheet name="Quarterly Data 2001-2025" sheetId="1" r:id="rId1"/>
    <sheet name="Annual Data 2001-2024" sheetId="2" r:id="rId2"/>
  </sheets>
  <externalReferences>
    <externalReference r:id="rId3"/>
  </externalReferences>
  <definedNames>
    <definedName name="DataTable">[1]Data!$A$3:$AI$992</definedName>
    <definedName name="LookupPeriodkod">[1]Data!$A$3:$AI$3</definedName>
    <definedName name="LookupValueName">[1]Data!$A$3:$A$992</definedName>
    <definedName name="_xlnm.Print_Area" localSheetId="1">'Annual Data 2001-2024'!$A$1:$Z$178</definedName>
    <definedName name="_xlnm.Print_Area" localSheetId="0">'Quarterly Data 2001-2025'!$A$1:$CU$176</definedName>
    <definedName name="_xlnm.Print_Titles" localSheetId="1">'Annual Data 2001-2024'!$A:$A,'Annual Data 2001-2024'!$5:$5</definedName>
    <definedName name="_xlnm.Print_Titles" localSheetId="0">'Quarterly Data 2001-2025'!$A:$A,'Quarterly Data 2001-2025'!$5:$5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142" i="1" l="1"/>
  <c r="CU20" i="1" l="1"/>
  <c r="CU25" i="1"/>
  <c r="CU104" i="1" l="1"/>
  <c r="CU120" i="1" l="1"/>
  <c r="CU67" i="1"/>
  <c r="CU145" i="1"/>
  <c r="CU123" i="1"/>
  <c r="CU122" i="1"/>
  <c r="CU109" i="1"/>
  <c r="CU108" i="1"/>
  <c r="CU107" i="1"/>
  <c r="CU97" i="1"/>
  <c r="CU71" i="1"/>
  <c r="CU37" i="1"/>
  <c r="CU129" i="1" s="1"/>
  <c r="CU28" i="1"/>
  <c r="CU12" i="1"/>
  <c r="Y164" i="2"/>
  <c r="Y163" i="2"/>
  <c r="Y162" i="2"/>
  <c r="CU124" i="1" l="1"/>
  <c r="CU14" i="1"/>
  <c r="CU144" i="1"/>
  <c r="CU73" i="1"/>
  <c r="CU137" i="1"/>
  <c r="CU29" i="1"/>
  <c r="Y159" i="2"/>
  <c r="Y161" i="2"/>
  <c r="Y158" i="2"/>
  <c r="Y157" i="2"/>
  <c r="Y156" i="2"/>
  <c r="CU31" i="1" l="1"/>
  <c r="CU44" i="1" s="1"/>
  <c r="CU39" i="1"/>
  <c r="CU43" i="1" s="1"/>
  <c r="CU54" i="1"/>
  <c r="CU128" i="1"/>
  <c r="CU72" i="1"/>
  <c r="CU136" i="1"/>
  <c r="CS28" i="1"/>
  <c r="CT25" i="1"/>
  <c r="Y135" i="2"/>
  <c r="CU52" i="1" l="1"/>
  <c r="CU49" i="1"/>
  <c r="CU138" i="1"/>
  <c r="CU130" i="1"/>
  <c r="CU47" i="1"/>
  <c r="CU74" i="1"/>
  <c r="Y61" i="2"/>
  <c r="Y62" i="2"/>
  <c r="Y64" i="2"/>
  <c r="Y63" i="2"/>
  <c r="CU57" i="1" l="1"/>
  <c r="CU53" i="1"/>
  <c r="Y11" i="2"/>
  <c r="Y10" i="2"/>
  <c r="C131" i="1" l="1"/>
  <c r="Z111" i="2" l="1"/>
  <c r="Z131" i="2"/>
  <c r="Z143" i="2"/>
  <c r="Z149" i="2"/>
  <c r="Z150" i="2"/>
  <c r="Z153" i="2"/>
  <c r="Z154" i="2"/>
  <c r="Z46" i="2"/>
  <c r="Z17" i="2"/>
  <c r="Z11" i="2"/>
  <c r="Z10" i="2"/>
  <c r="Y60" i="2" l="1"/>
  <c r="Y69" i="2"/>
  <c r="Y68" i="2"/>
  <c r="Y80" i="2"/>
  <c r="Y79" i="2"/>
  <c r="Y78" i="2"/>
  <c r="Y77" i="2"/>
  <c r="Y91" i="2"/>
  <c r="Y90" i="2"/>
  <c r="Y89" i="2"/>
  <c r="Y87" i="2"/>
  <c r="Y86" i="2"/>
  <c r="Y85" i="2"/>
  <c r="Y84" i="2"/>
  <c r="Y83" i="2"/>
  <c r="Y96" i="2"/>
  <c r="X96" i="2"/>
  <c r="Y95" i="2"/>
  <c r="Y94" i="2"/>
  <c r="Y103" i="2"/>
  <c r="Y102" i="2"/>
  <c r="Y101" i="2"/>
  <c r="Y100" i="2"/>
  <c r="Y114" i="2"/>
  <c r="Y115" i="2"/>
  <c r="Y116" i="2"/>
  <c r="Y117" i="2"/>
  <c r="Y118" i="2"/>
  <c r="Z118" i="2" s="1"/>
  <c r="Y125" i="2"/>
  <c r="Y134" i="2"/>
  <c r="Y141" i="2"/>
  <c r="Y144" i="2" s="1"/>
  <c r="Y148" i="2"/>
  <c r="Y42" i="2"/>
  <c r="Y41" i="2"/>
  <c r="Y36" i="2"/>
  <c r="Y35" i="2"/>
  <c r="Y34" i="2"/>
  <c r="Y33" i="2"/>
  <c r="Y27" i="2"/>
  <c r="Y26" i="2"/>
  <c r="Y24" i="2"/>
  <c r="Y23" i="2"/>
  <c r="Y22" i="2"/>
  <c r="Y21" i="2"/>
  <c r="Y19" i="2"/>
  <c r="Y18" i="2"/>
  <c r="Y13" i="2"/>
  <c r="Y12" i="2"/>
  <c r="X12" i="2"/>
  <c r="Y28" i="2" l="1"/>
  <c r="Y37" i="2"/>
  <c r="Y107" i="2"/>
  <c r="Y14" i="2"/>
  <c r="Y109" i="2"/>
  <c r="Y97" i="2"/>
  <c r="Y119" i="2"/>
  <c r="Y20" i="2"/>
  <c r="Y29" i="2" s="1"/>
  <c r="Y129" i="2"/>
  <c r="Y73" i="2"/>
  <c r="Y137" i="2"/>
  <c r="Y123" i="2"/>
  <c r="Y124" i="2"/>
  <c r="Y121" i="2"/>
  <c r="Y142" i="2"/>
  <c r="Y88" i="2"/>
  <c r="Y108" i="2" s="1"/>
  <c r="Y120" i="2"/>
  <c r="Y31" i="2" l="1"/>
  <c r="Y147" i="2"/>
  <c r="Y146" i="2"/>
  <c r="Y71" i="2"/>
  <c r="Y39" i="2" l="1"/>
  <c r="Y136" i="2"/>
  <c r="Y54" i="2"/>
  <c r="Y43" i="2" l="1"/>
  <c r="CT71" i="1"/>
  <c r="Y130" i="2" l="1"/>
  <c r="Y47" i="2"/>
  <c r="Y52" i="2"/>
  <c r="Y74" i="2"/>
  <c r="Y49" i="2"/>
  <c r="Y138" i="2"/>
  <c r="CT67" i="1"/>
  <c r="CT37" i="1"/>
  <c r="CT73" i="1" s="1"/>
  <c r="CT28" i="1"/>
  <c r="CT20" i="1"/>
  <c r="CT12" i="1"/>
  <c r="CT14" i="1" s="1"/>
  <c r="CT29" i="1" l="1"/>
  <c r="CT31" i="1" s="1"/>
  <c r="Y53" i="2"/>
  <c r="Y56" i="2"/>
  <c r="Y55" i="2"/>
  <c r="Y145" i="2"/>
  <c r="Y57" i="2"/>
  <c r="CT72" i="1" l="1"/>
  <c r="CT44" i="1"/>
  <c r="CT54" i="1"/>
  <c r="CT39" i="1"/>
  <c r="CT43" i="1" s="1"/>
  <c r="CT49" i="1" s="1"/>
  <c r="CT130" i="1" l="1"/>
  <c r="CT52" i="1"/>
  <c r="CT74" i="1"/>
  <c r="CT47" i="1"/>
  <c r="CT57" i="1" l="1"/>
  <c r="CT53" i="1"/>
  <c r="CT97" i="1"/>
  <c r="CT104" i="1"/>
  <c r="Y104" i="2" s="1"/>
  <c r="CT109" i="1"/>
  <c r="CT108" i="1"/>
  <c r="CT107" i="1"/>
  <c r="CT120" i="1"/>
  <c r="CT124" i="1"/>
  <c r="CT123" i="1"/>
  <c r="CT122" i="1"/>
  <c r="CT121" i="1"/>
  <c r="CT129" i="1"/>
  <c r="CT128" i="1"/>
  <c r="CT138" i="1"/>
  <c r="CT137" i="1"/>
  <c r="CT136" i="1"/>
  <c r="CT142" i="1"/>
  <c r="CT145" i="1" l="1"/>
  <c r="CT144" i="1"/>
  <c r="CR107" i="1" l="1"/>
  <c r="CR28" i="1" l="1"/>
  <c r="CS142" i="1" l="1"/>
  <c r="CS145" i="1" s="1"/>
  <c r="CS123" i="1"/>
  <c r="CS122" i="1"/>
  <c r="CS121" i="1"/>
  <c r="CS120" i="1"/>
  <c r="CS119" i="1"/>
  <c r="CS109" i="1"/>
  <c r="CS108" i="1"/>
  <c r="CS107" i="1"/>
  <c r="CS104" i="1"/>
  <c r="CS97" i="1"/>
  <c r="CS71" i="1"/>
  <c r="CS67" i="1"/>
  <c r="CS37" i="1"/>
  <c r="CS137" i="1" s="1"/>
  <c r="CS25" i="1"/>
  <c r="CS20" i="1"/>
  <c r="CS29" i="1" s="1"/>
  <c r="CS12" i="1"/>
  <c r="CS14" i="1" s="1"/>
  <c r="CP119" i="1"/>
  <c r="CO119" i="1"/>
  <c r="CS73" i="1" l="1"/>
  <c r="CS129" i="1"/>
  <c r="CS31" i="1"/>
  <c r="CS44" i="1" s="1"/>
  <c r="CS124" i="1"/>
  <c r="CS144" i="1"/>
  <c r="CR142" i="1"/>
  <c r="CR144" i="1" s="1"/>
  <c r="CQ142" i="1"/>
  <c r="CR119" i="1"/>
  <c r="CR97" i="1"/>
  <c r="CR123" i="1"/>
  <c r="CR122" i="1"/>
  <c r="CR121" i="1"/>
  <c r="CR120" i="1"/>
  <c r="CR109" i="1"/>
  <c r="CR108" i="1"/>
  <c r="CR104" i="1"/>
  <c r="CR71" i="1"/>
  <c r="CR67" i="1"/>
  <c r="CR37" i="1"/>
  <c r="CR129" i="1" s="1"/>
  <c r="CR25" i="1"/>
  <c r="CR20" i="1"/>
  <c r="CR12" i="1"/>
  <c r="CR14" i="1" s="1"/>
  <c r="CQ12" i="1"/>
  <c r="CQ14" i="1" s="1"/>
  <c r="CQ20" i="1"/>
  <c r="CQ25" i="1"/>
  <c r="CQ28" i="1"/>
  <c r="CQ37" i="1"/>
  <c r="CS39" i="1" l="1"/>
  <c r="CS43" i="1" s="1"/>
  <c r="CS74" i="1" s="1"/>
  <c r="Y25" i="2"/>
  <c r="CS72" i="1"/>
  <c r="CS128" i="1"/>
  <c r="CS54" i="1"/>
  <c r="CS136" i="1"/>
  <c r="CQ29" i="1"/>
  <c r="CR29" i="1"/>
  <c r="CR31" i="1" s="1"/>
  <c r="CR44" i="1" s="1"/>
  <c r="CR145" i="1"/>
  <c r="CR73" i="1"/>
  <c r="CR124" i="1"/>
  <c r="CR137" i="1"/>
  <c r="CS138" i="1" l="1"/>
  <c r="CS47" i="1"/>
  <c r="CS130" i="1"/>
  <c r="CS49" i="1"/>
  <c r="CS52" i="1"/>
  <c r="CQ31" i="1"/>
  <c r="CQ72" i="1" s="1"/>
  <c r="CS56" i="1"/>
  <c r="CS57" i="1"/>
  <c r="CS53" i="1"/>
  <c r="CS55" i="1"/>
  <c r="CQ39" i="1"/>
  <c r="CQ43" i="1" s="1"/>
  <c r="CQ49" i="1" s="1"/>
  <c r="CR54" i="1"/>
  <c r="CR39" i="1"/>
  <c r="CR43" i="1" s="1"/>
  <c r="CR138" i="1" s="1"/>
  <c r="CR136" i="1"/>
  <c r="CR72" i="1"/>
  <c r="CR128" i="1"/>
  <c r="CQ44" i="1" l="1"/>
  <c r="Y44" i="2" s="1"/>
  <c r="CQ47" i="1"/>
  <c r="CR130" i="1"/>
  <c r="CR49" i="1"/>
  <c r="CR52" i="1"/>
  <c r="CR74" i="1"/>
  <c r="CR47" i="1"/>
  <c r="CR55" i="1" s="1"/>
  <c r="CR53" i="1"/>
  <c r="CQ56" i="1"/>
  <c r="CQ55" i="1"/>
  <c r="CQ57" i="1"/>
  <c r="CR57" i="1" l="1"/>
  <c r="CU143" i="1"/>
  <c r="CT143" i="1"/>
  <c r="CR56" i="1"/>
  <c r="CQ145" i="1"/>
  <c r="CQ123" i="1"/>
  <c r="CQ122" i="1"/>
  <c r="CQ121" i="1"/>
  <c r="CQ120" i="1"/>
  <c r="CQ119" i="1"/>
  <c r="CQ109" i="1"/>
  <c r="CQ108" i="1"/>
  <c r="CQ107" i="1"/>
  <c r="CQ104" i="1"/>
  <c r="CQ97" i="1"/>
  <c r="CQ71" i="1"/>
  <c r="CQ67" i="1"/>
  <c r="CQ137" i="1"/>
  <c r="CQ124" i="1"/>
  <c r="X156" i="2"/>
  <c r="CQ144" i="1" l="1"/>
  <c r="CQ54" i="1"/>
  <c r="CQ129" i="1"/>
  <c r="CQ73" i="1"/>
  <c r="CO12" i="1"/>
  <c r="CO14" i="1" s="1"/>
  <c r="CO20" i="1"/>
  <c r="CO25" i="1"/>
  <c r="CO28" i="1"/>
  <c r="CO37" i="1"/>
  <c r="CO137" i="1" s="1"/>
  <c r="CO67" i="1"/>
  <c r="CO71" i="1"/>
  <c r="CO97" i="1"/>
  <c r="CO104" i="1"/>
  <c r="CO107" i="1"/>
  <c r="CO108" i="1"/>
  <c r="CO109" i="1"/>
  <c r="CO120" i="1"/>
  <c r="CO121" i="1"/>
  <c r="CO122" i="1"/>
  <c r="CO123" i="1"/>
  <c r="CO142" i="1"/>
  <c r="X135" i="2"/>
  <c r="X125" i="2"/>
  <c r="X118" i="2"/>
  <c r="X117" i="2"/>
  <c r="X116" i="2"/>
  <c r="X115" i="2"/>
  <c r="X114" i="2"/>
  <c r="X80" i="2"/>
  <c r="X79" i="2"/>
  <c r="X78" i="2"/>
  <c r="X77" i="2"/>
  <c r="X69" i="2"/>
  <c r="X42" i="2"/>
  <c r="X41" i="2"/>
  <c r="X36" i="2"/>
  <c r="X35" i="2"/>
  <c r="X34" i="2"/>
  <c r="X33" i="2"/>
  <c r="X27" i="2"/>
  <c r="X26" i="2"/>
  <c r="X24" i="2"/>
  <c r="X23" i="2"/>
  <c r="X22" i="2"/>
  <c r="X21" i="2"/>
  <c r="X19" i="2"/>
  <c r="X18" i="2"/>
  <c r="X13" i="2"/>
  <c r="X164" i="2"/>
  <c r="X163" i="2"/>
  <c r="X162" i="2"/>
  <c r="X161" i="2"/>
  <c r="X159" i="2"/>
  <c r="X158" i="2"/>
  <c r="X157" i="2"/>
  <c r="X148" i="2"/>
  <c r="X141" i="2"/>
  <c r="X134" i="2"/>
  <c r="X103" i="2"/>
  <c r="X102" i="2"/>
  <c r="X101" i="2"/>
  <c r="X100" i="2"/>
  <c r="X95" i="2"/>
  <c r="X94" i="2"/>
  <c r="X91" i="2"/>
  <c r="X90" i="2"/>
  <c r="X89" i="2"/>
  <c r="X87" i="2"/>
  <c r="X86" i="2"/>
  <c r="X85" i="2"/>
  <c r="X84" i="2"/>
  <c r="X83" i="2"/>
  <c r="X68" i="2"/>
  <c r="X60" i="2"/>
  <c r="Y122" i="2" l="1"/>
  <c r="Y72" i="2"/>
  <c r="Y67" i="2"/>
  <c r="CO29" i="1"/>
  <c r="CO31" i="1" s="1"/>
  <c r="CO54" i="1" s="1"/>
  <c r="CO124" i="1"/>
  <c r="CQ136" i="1"/>
  <c r="CQ128" i="1"/>
  <c r="Y128" i="2" s="1"/>
  <c r="CO73" i="1"/>
  <c r="CO145" i="1"/>
  <c r="CO129" i="1"/>
  <c r="CO144" i="1"/>
  <c r="X144" i="2"/>
  <c r="X120" i="2"/>
  <c r="X121" i="2"/>
  <c r="X123" i="2"/>
  <c r="X109" i="2"/>
  <c r="X107" i="2"/>
  <c r="X97" i="2"/>
  <c r="X88" i="2"/>
  <c r="X108" i="2" s="1"/>
  <c r="X37" i="2"/>
  <c r="X28" i="2"/>
  <c r="X20" i="2"/>
  <c r="CQ74" i="1" l="1"/>
  <c r="CQ130" i="1"/>
  <c r="CQ52" i="1"/>
  <c r="CQ138" i="1"/>
  <c r="CO39" i="1"/>
  <c r="CO43" i="1" s="1"/>
  <c r="CO44" i="1"/>
  <c r="CO128" i="1"/>
  <c r="CO72" i="1"/>
  <c r="CO136" i="1"/>
  <c r="X124" i="2"/>
  <c r="X129" i="2"/>
  <c r="X73" i="2"/>
  <c r="X29" i="2"/>
  <c r="X137" i="2"/>
  <c r="X142" i="2"/>
  <c r="X119" i="2"/>
  <c r="X71" i="2"/>
  <c r="X14" i="2"/>
  <c r="CQ53" i="1" l="1"/>
  <c r="CO47" i="1"/>
  <c r="CO138" i="1"/>
  <c r="CO49" i="1"/>
  <c r="CO130" i="1"/>
  <c r="CO52" i="1"/>
  <c r="CO74" i="1"/>
  <c r="X31" i="2"/>
  <c r="X146" i="2"/>
  <c r="X147" i="2"/>
  <c r="CO55" i="1" l="1"/>
  <c r="CO56" i="1"/>
  <c r="CO57" i="1"/>
  <c r="CO53" i="1"/>
  <c r="X72" i="2"/>
  <c r="X128" i="2"/>
  <c r="X44" i="2"/>
  <c r="X136" i="2"/>
  <c r="X39" i="2"/>
  <c r="X54" i="2"/>
  <c r="X43" i="2" l="1"/>
  <c r="X130" i="2" l="1"/>
  <c r="X74" i="2"/>
  <c r="X52" i="2"/>
  <c r="X49" i="2"/>
  <c r="X47" i="2"/>
  <c r="X57" i="2" s="1"/>
  <c r="X138" i="2"/>
  <c r="X53" i="2" l="1"/>
  <c r="X55" i="2"/>
  <c r="X56" i="2"/>
  <c r="X145" i="2"/>
  <c r="CP142" i="1" l="1"/>
  <c r="CP145" i="1" s="1"/>
  <c r="CP123" i="1"/>
  <c r="CP122" i="1"/>
  <c r="CP121" i="1"/>
  <c r="CP120" i="1"/>
  <c r="CP109" i="1"/>
  <c r="CP108" i="1"/>
  <c r="CP107" i="1"/>
  <c r="CP104" i="1"/>
  <c r="CP97" i="1"/>
  <c r="CP71" i="1"/>
  <c r="CP67" i="1"/>
  <c r="CP37" i="1"/>
  <c r="CP129" i="1" s="1"/>
  <c r="CP28" i="1"/>
  <c r="CP25" i="1"/>
  <c r="CP20" i="1"/>
  <c r="CP12" i="1"/>
  <c r="CP14" i="1" s="1"/>
  <c r="CP29" i="1" l="1"/>
  <c r="CP31" i="1" s="1"/>
  <c r="CP72" i="1" s="1"/>
  <c r="X104" i="2"/>
  <c r="CP73" i="1"/>
  <c r="CP137" i="1"/>
  <c r="CP124" i="1"/>
  <c r="CP144" i="1"/>
  <c r="CP54" i="1" l="1"/>
  <c r="CP39" i="1"/>
  <c r="CP43" i="1" s="1"/>
  <c r="CP47" i="1" s="1"/>
  <c r="CP136" i="1"/>
  <c r="CP44" i="1"/>
  <c r="CP128" i="1"/>
  <c r="CR143" i="1" l="1"/>
  <c r="CS143" i="1"/>
  <c r="CP52" i="1"/>
  <c r="CP74" i="1"/>
  <c r="CP138" i="1"/>
  <c r="CP130" i="1"/>
  <c r="CP49" i="1"/>
  <c r="CP55" i="1"/>
  <c r="CP53" i="1"/>
  <c r="CP57" i="1"/>
  <c r="CP56" i="1"/>
  <c r="CN142" i="1" l="1"/>
  <c r="CN145" i="1" s="1"/>
  <c r="CN123" i="1"/>
  <c r="CN122" i="1"/>
  <c r="CN121" i="1"/>
  <c r="CN120" i="1"/>
  <c r="CN119" i="1"/>
  <c r="CN109" i="1"/>
  <c r="CN107" i="1"/>
  <c r="CN104" i="1"/>
  <c r="CN97" i="1"/>
  <c r="CN71" i="1"/>
  <c r="CN67" i="1"/>
  <c r="CN37" i="1"/>
  <c r="CN137" i="1" s="1"/>
  <c r="CN28" i="1"/>
  <c r="CN25" i="1"/>
  <c r="CN20" i="1"/>
  <c r="CN12" i="1"/>
  <c r="CN124" i="1" s="1"/>
  <c r="J158" i="1"/>
  <c r="I158" i="1"/>
  <c r="H158" i="1"/>
  <c r="G158" i="1"/>
  <c r="F158" i="1"/>
  <c r="E158" i="1"/>
  <c r="D158" i="1"/>
  <c r="C158" i="1"/>
  <c r="CM142" i="1"/>
  <c r="CM145" i="1" s="1"/>
  <c r="CL142" i="1"/>
  <c r="CL145" i="1" s="1"/>
  <c r="CK142" i="1"/>
  <c r="CK145" i="1" s="1"/>
  <c r="CJ142" i="1"/>
  <c r="CI142" i="1"/>
  <c r="CI145" i="1" s="1"/>
  <c r="CH142" i="1"/>
  <c r="CH145" i="1" s="1"/>
  <c r="CG142" i="1"/>
  <c r="CG145" i="1" s="1"/>
  <c r="CF142" i="1"/>
  <c r="CE142" i="1"/>
  <c r="CE145" i="1" s="1"/>
  <c r="CD142" i="1"/>
  <c r="CD145" i="1" s="1"/>
  <c r="CC142" i="1"/>
  <c r="CB142" i="1"/>
  <c r="CA142" i="1"/>
  <c r="CA145" i="1" s="1"/>
  <c r="BZ142" i="1"/>
  <c r="BZ145" i="1" s="1"/>
  <c r="BY142" i="1"/>
  <c r="BY145" i="1" s="1"/>
  <c r="BX142" i="1"/>
  <c r="BX145" i="1" s="1"/>
  <c r="BW142" i="1"/>
  <c r="BW145" i="1" s="1"/>
  <c r="BV142" i="1"/>
  <c r="BV145" i="1" s="1"/>
  <c r="BU142" i="1"/>
  <c r="BU144" i="1" s="1"/>
  <c r="BT142" i="1"/>
  <c r="BS142" i="1"/>
  <c r="BS145" i="1" s="1"/>
  <c r="BR142" i="1"/>
  <c r="BR145" i="1" s="1"/>
  <c r="BQ142" i="1"/>
  <c r="BQ145" i="1" s="1"/>
  <c r="BP142" i="1"/>
  <c r="BP145" i="1" s="1"/>
  <c r="BO142" i="1"/>
  <c r="BO145" i="1" s="1"/>
  <c r="BN142" i="1"/>
  <c r="BN145" i="1" s="1"/>
  <c r="BM142" i="1"/>
  <c r="BM145" i="1" s="1"/>
  <c r="BL142" i="1"/>
  <c r="BK142" i="1"/>
  <c r="BK145" i="1" s="1"/>
  <c r="BJ142" i="1"/>
  <c r="BJ145" i="1" s="1"/>
  <c r="BI142" i="1"/>
  <c r="BI145" i="1" s="1"/>
  <c r="BH142" i="1"/>
  <c r="BH145" i="1" s="1"/>
  <c r="BG142" i="1"/>
  <c r="BG145" i="1" s="1"/>
  <c r="BF142" i="1"/>
  <c r="BF145" i="1" s="1"/>
  <c r="BE142" i="1"/>
  <c r="BE144" i="1" s="1"/>
  <c r="BD142" i="1"/>
  <c r="BC142" i="1"/>
  <c r="BC145" i="1" s="1"/>
  <c r="BB142" i="1"/>
  <c r="BB145" i="1" s="1"/>
  <c r="BA142" i="1"/>
  <c r="BA145" i="1" s="1"/>
  <c r="AZ142" i="1"/>
  <c r="AZ145" i="1" s="1"/>
  <c r="AY142" i="1"/>
  <c r="AY145" i="1" s="1"/>
  <c r="AX142" i="1"/>
  <c r="AX145" i="1" s="1"/>
  <c r="AW142" i="1"/>
  <c r="AW145" i="1" s="1"/>
  <c r="AV142" i="1"/>
  <c r="AU142" i="1"/>
  <c r="AU145" i="1" s="1"/>
  <c r="AT142" i="1"/>
  <c r="AT145" i="1" s="1"/>
  <c r="AS142" i="1"/>
  <c r="AS145" i="1" s="1"/>
  <c r="AR142" i="1"/>
  <c r="AR145" i="1" s="1"/>
  <c r="AQ142" i="1"/>
  <c r="AQ145" i="1" s="1"/>
  <c r="AP142" i="1"/>
  <c r="AP145" i="1" s="1"/>
  <c r="AO142" i="1"/>
  <c r="AN142" i="1"/>
  <c r="AM142" i="1"/>
  <c r="AM145" i="1" s="1"/>
  <c r="AL142" i="1"/>
  <c r="AL145" i="1" s="1"/>
  <c r="AK142" i="1"/>
  <c r="AK145" i="1" s="1"/>
  <c r="AJ142" i="1"/>
  <c r="AJ145" i="1" s="1"/>
  <c r="AI142" i="1"/>
  <c r="AI145" i="1" s="1"/>
  <c r="AH142" i="1"/>
  <c r="AH145" i="1" s="1"/>
  <c r="AG142" i="1"/>
  <c r="AG144" i="1" s="1"/>
  <c r="AF142" i="1"/>
  <c r="AE142" i="1"/>
  <c r="AE145" i="1" s="1"/>
  <c r="AD142" i="1"/>
  <c r="AD145" i="1" s="1"/>
  <c r="AC142" i="1"/>
  <c r="AC145" i="1" s="1"/>
  <c r="AB142" i="1"/>
  <c r="AB145" i="1" s="1"/>
  <c r="AA142" i="1"/>
  <c r="AA145" i="1" s="1"/>
  <c r="Z142" i="1"/>
  <c r="Z145" i="1" s="1"/>
  <c r="Y142" i="1"/>
  <c r="Y145" i="1" s="1"/>
  <c r="X142" i="1"/>
  <c r="W142" i="1"/>
  <c r="W145" i="1" s="1"/>
  <c r="V142" i="1"/>
  <c r="V145" i="1" s="1"/>
  <c r="U142" i="1"/>
  <c r="U145" i="1" s="1"/>
  <c r="T142" i="1"/>
  <c r="S142" i="1"/>
  <c r="S145" i="1" s="1"/>
  <c r="R142" i="1"/>
  <c r="R145" i="1" s="1"/>
  <c r="Q142" i="1"/>
  <c r="P142" i="1"/>
  <c r="O142" i="1"/>
  <c r="O145" i="1" s="1"/>
  <c r="N142" i="1"/>
  <c r="N145" i="1" s="1"/>
  <c r="M142" i="1"/>
  <c r="M145" i="1" s="1"/>
  <c r="L142" i="1"/>
  <c r="L145" i="1" s="1"/>
  <c r="K142" i="1"/>
  <c r="K145" i="1" s="1"/>
  <c r="J142" i="1"/>
  <c r="J145" i="1" s="1"/>
  <c r="I142" i="1"/>
  <c r="I144" i="1" s="1"/>
  <c r="H142" i="1"/>
  <c r="G142" i="1"/>
  <c r="G145" i="1" s="1"/>
  <c r="F142" i="1"/>
  <c r="F145" i="1" s="1"/>
  <c r="E142" i="1"/>
  <c r="E145" i="1" s="1"/>
  <c r="D142" i="1"/>
  <c r="D144" i="1" s="1"/>
  <c r="C142" i="1"/>
  <c r="C145" i="1" s="1"/>
  <c r="B141" i="1"/>
  <c r="BT138" i="1"/>
  <c r="BS138" i="1"/>
  <c r="BS137" i="1"/>
  <c r="BR135" i="1"/>
  <c r="BR137" i="1" s="1"/>
  <c r="BQ135" i="1"/>
  <c r="BQ137" i="1" s="1"/>
  <c r="BP135" i="1"/>
  <c r="BP137" i="1" s="1"/>
  <c r="BO135" i="1"/>
  <c r="BO137" i="1" s="1"/>
  <c r="BN135" i="1"/>
  <c r="BN137" i="1" s="1"/>
  <c r="BM135" i="1"/>
  <c r="BL135" i="1"/>
  <c r="BK135" i="1"/>
  <c r="BK137" i="1" s="1"/>
  <c r="BJ135" i="1"/>
  <c r="BI135" i="1"/>
  <c r="BH135" i="1"/>
  <c r="BG135" i="1"/>
  <c r="BF135" i="1"/>
  <c r="BE135" i="1"/>
  <c r="BD135" i="1"/>
  <c r="BC135" i="1"/>
  <c r="BB135" i="1"/>
  <c r="BA135" i="1"/>
  <c r="AZ135" i="1"/>
  <c r="AY135" i="1"/>
  <c r="AX135" i="1"/>
  <c r="AW135" i="1"/>
  <c r="AV135" i="1"/>
  <c r="AU135" i="1"/>
  <c r="AT135" i="1"/>
  <c r="AS135" i="1"/>
  <c r="AR135" i="1"/>
  <c r="AQ135" i="1"/>
  <c r="BV131" i="1"/>
  <c r="BU131" i="1"/>
  <c r="BT131" i="1"/>
  <c r="BS131" i="1"/>
  <c r="BR131" i="1"/>
  <c r="BQ131" i="1"/>
  <c r="BP131" i="1"/>
  <c r="BO131" i="1"/>
  <c r="BN131" i="1"/>
  <c r="BM131" i="1"/>
  <c r="BL131" i="1"/>
  <c r="BK131" i="1"/>
  <c r="BJ131" i="1"/>
  <c r="BI131" i="1"/>
  <c r="BH131" i="1"/>
  <c r="BG131" i="1"/>
  <c r="BF131" i="1"/>
  <c r="BE131" i="1"/>
  <c r="BD131" i="1"/>
  <c r="BC131" i="1"/>
  <c r="BB131" i="1"/>
  <c r="BA131" i="1"/>
  <c r="AZ131" i="1"/>
  <c r="AY131" i="1"/>
  <c r="AX131" i="1"/>
  <c r="AW131" i="1"/>
  <c r="AV131" i="1"/>
  <c r="AU131" i="1"/>
  <c r="AT131" i="1"/>
  <c r="AS131" i="1"/>
  <c r="AR131" i="1"/>
  <c r="AQ131" i="1"/>
  <c r="AP131" i="1"/>
  <c r="AO131" i="1"/>
  <c r="AN131" i="1"/>
  <c r="AM131" i="1"/>
  <c r="AL131" i="1"/>
  <c r="AK131" i="1"/>
  <c r="AJ131" i="1"/>
  <c r="AI131" i="1"/>
  <c r="AH131" i="1"/>
  <c r="AG131" i="1"/>
  <c r="AF131" i="1"/>
  <c r="AE131" i="1"/>
  <c r="AD131" i="1"/>
  <c r="AC131" i="1"/>
  <c r="AB131" i="1"/>
  <c r="AA131" i="1"/>
  <c r="Z131" i="1"/>
  <c r="Y131" i="1"/>
  <c r="X131" i="1"/>
  <c r="W131" i="1"/>
  <c r="V131" i="1"/>
  <c r="U131" i="1"/>
  <c r="T131" i="1"/>
  <c r="S131" i="1"/>
  <c r="R131" i="1"/>
  <c r="Q131" i="1"/>
  <c r="P131" i="1"/>
  <c r="O131" i="1"/>
  <c r="N131" i="1"/>
  <c r="M131" i="1"/>
  <c r="L131" i="1"/>
  <c r="K131" i="1"/>
  <c r="J131" i="1"/>
  <c r="I131" i="1"/>
  <c r="H131" i="1"/>
  <c r="G131" i="1"/>
  <c r="F131" i="1"/>
  <c r="E131" i="1"/>
  <c r="D131" i="1"/>
  <c r="BT130" i="1"/>
  <c r="BS130" i="1"/>
  <c r="BS129" i="1"/>
  <c r="BR129" i="1"/>
  <c r="BQ129" i="1"/>
  <c r="BP129" i="1"/>
  <c r="BO129" i="1"/>
  <c r="BN129" i="1"/>
  <c r="BK129" i="1"/>
  <c r="BG124" i="1"/>
  <c r="CM123" i="1"/>
  <c r="CL123" i="1"/>
  <c r="CK123" i="1"/>
  <c r="CJ123" i="1"/>
  <c r="CI123" i="1"/>
  <c r="CH123" i="1"/>
  <c r="CG123" i="1"/>
  <c r="CF123" i="1"/>
  <c r="CE123" i="1"/>
  <c r="CD123" i="1"/>
  <c r="CC123" i="1"/>
  <c r="CB123" i="1"/>
  <c r="CA123" i="1"/>
  <c r="BZ123" i="1"/>
  <c r="BY123" i="1"/>
  <c r="BX123" i="1"/>
  <c r="BW123" i="1"/>
  <c r="BV123" i="1"/>
  <c r="BU123" i="1"/>
  <c r="BT123" i="1"/>
  <c r="BS123" i="1"/>
  <c r="BR123" i="1"/>
  <c r="BQ123" i="1"/>
  <c r="BP123" i="1"/>
  <c r="BO123" i="1"/>
  <c r="BN123" i="1"/>
  <c r="BM123" i="1"/>
  <c r="BL123" i="1"/>
  <c r="BK123" i="1"/>
  <c r="BJ123" i="1"/>
  <c r="BI123" i="1"/>
  <c r="BH123" i="1"/>
  <c r="BG123" i="1"/>
  <c r="BF123" i="1"/>
  <c r="BE123" i="1"/>
  <c r="BD123" i="1"/>
  <c r="BC123" i="1"/>
  <c r="BB123" i="1"/>
  <c r="BA123" i="1"/>
  <c r="AZ123" i="1"/>
  <c r="AY123" i="1"/>
  <c r="CM122" i="1"/>
  <c r="CL122" i="1"/>
  <c r="CK122" i="1"/>
  <c r="CJ122" i="1"/>
  <c r="CI122" i="1"/>
  <c r="CH122" i="1"/>
  <c r="CG122" i="1"/>
  <c r="CF122" i="1"/>
  <c r="CE122" i="1"/>
  <c r="CD122" i="1"/>
  <c r="CC122" i="1"/>
  <c r="CB122" i="1"/>
  <c r="CA122" i="1"/>
  <c r="BZ122" i="1"/>
  <c r="BY122" i="1"/>
  <c r="BX122" i="1"/>
  <c r="BW122" i="1"/>
  <c r="BV122" i="1"/>
  <c r="BU122" i="1"/>
  <c r="BT122" i="1"/>
  <c r="BS122" i="1"/>
  <c r="BR122" i="1"/>
  <c r="BQ122" i="1"/>
  <c r="BP122" i="1"/>
  <c r="BO122" i="1"/>
  <c r="BN122" i="1"/>
  <c r="BM122" i="1"/>
  <c r="BL122" i="1"/>
  <c r="BK122" i="1"/>
  <c r="CM121" i="1"/>
  <c r="CL121" i="1"/>
  <c r="CK121" i="1"/>
  <c r="CJ121" i="1"/>
  <c r="CI121" i="1"/>
  <c r="CH121" i="1"/>
  <c r="CG121" i="1"/>
  <c r="CF121" i="1"/>
  <c r="CE121" i="1"/>
  <c r="CD121" i="1"/>
  <c r="CC121" i="1"/>
  <c r="CB121" i="1"/>
  <c r="CA121" i="1"/>
  <c r="CM120" i="1"/>
  <c r="CL120" i="1"/>
  <c r="CK120" i="1"/>
  <c r="CJ120" i="1"/>
  <c r="CI120" i="1"/>
  <c r="CH120" i="1"/>
  <c r="CG120" i="1"/>
  <c r="CF120" i="1"/>
  <c r="CE120" i="1"/>
  <c r="CD120" i="1"/>
  <c r="CC120" i="1"/>
  <c r="CB120" i="1"/>
  <c r="CA120" i="1"/>
  <c r="BZ120" i="1"/>
  <c r="BY120" i="1"/>
  <c r="BX120" i="1"/>
  <c r="BW120" i="1"/>
  <c r="BV120" i="1"/>
  <c r="BU120" i="1"/>
  <c r="BT120" i="1"/>
  <c r="BS120" i="1"/>
  <c r="BR120" i="1"/>
  <c r="BQ120" i="1"/>
  <c r="BP120" i="1"/>
  <c r="BO120" i="1"/>
  <c r="BN120" i="1"/>
  <c r="BM120" i="1"/>
  <c r="BL120" i="1"/>
  <c r="BK120" i="1"/>
  <c r="BJ120" i="1"/>
  <c r="BI120" i="1"/>
  <c r="BH120" i="1"/>
  <c r="BG120" i="1"/>
  <c r="BF120" i="1"/>
  <c r="BE120" i="1"/>
  <c r="BD120" i="1"/>
  <c r="BC120" i="1"/>
  <c r="BB120" i="1"/>
  <c r="BA120" i="1"/>
  <c r="AZ120" i="1"/>
  <c r="AY120" i="1"/>
  <c r="CM119" i="1"/>
  <c r="CL119" i="1"/>
  <c r="CK119" i="1"/>
  <c r="CJ119" i="1"/>
  <c r="CI119" i="1"/>
  <c r="CH119" i="1"/>
  <c r="CG119" i="1"/>
  <c r="CF119" i="1"/>
  <c r="CE119" i="1"/>
  <c r="CD119" i="1"/>
  <c r="CC119" i="1"/>
  <c r="CB119" i="1"/>
  <c r="CA119" i="1"/>
  <c r="BZ119" i="1"/>
  <c r="BY119" i="1"/>
  <c r="BX119" i="1"/>
  <c r="BW119" i="1"/>
  <c r="BV119" i="1"/>
  <c r="BU119" i="1"/>
  <c r="BT119" i="1"/>
  <c r="BS119" i="1"/>
  <c r="BR119" i="1"/>
  <c r="BQ119" i="1"/>
  <c r="BP119" i="1"/>
  <c r="BO119" i="1"/>
  <c r="BN119" i="1"/>
  <c r="BM119" i="1"/>
  <c r="BL119" i="1"/>
  <c r="BK119" i="1"/>
  <c r="AX118" i="1"/>
  <c r="CM109" i="1"/>
  <c r="CL109" i="1"/>
  <c r="CK109" i="1"/>
  <c r="CJ109" i="1"/>
  <c r="CI109" i="1"/>
  <c r="CH109" i="1"/>
  <c r="CG109" i="1"/>
  <c r="CF109" i="1"/>
  <c r="CE109" i="1"/>
  <c r="CD109" i="1"/>
  <c r="CC109" i="1"/>
  <c r="CB109" i="1"/>
  <c r="CA109" i="1"/>
  <c r="BZ109" i="1"/>
  <c r="BY109" i="1"/>
  <c r="BX109" i="1"/>
  <c r="BW109" i="1"/>
  <c r="BV109" i="1"/>
  <c r="BU109" i="1"/>
  <c r="BT109" i="1"/>
  <c r="BS109" i="1"/>
  <c r="BR109" i="1"/>
  <c r="BQ109" i="1"/>
  <c r="BP109" i="1"/>
  <c r="BO109" i="1"/>
  <c r="BN109" i="1"/>
  <c r="BM109" i="1"/>
  <c r="BL109" i="1"/>
  <c r="BK109" i="1"/>
  <c r="BJ109" i="1"/>
  <c r="BI109" i="1"/>
  <c r="BH109" i="1"/>
  <c r="BG109" i="1"/>
  <c r="BF109" i="1"/>
  <c r="BE109" i="1"/>
  <c r="BD109" i="1"/>
  <c r="BC109" i="1"/>
  <c r="BB109" i="1"/>
  <c r="BA109" i="1"/>
  <c r="AZ109" i="1"/>
  <c r="AY109" i="1"/>
  <c r="AX109" i="1"/>
  <c r="AW109" i="1"/>
  <c r="AV109" i="1"/>
  <c r="AU109" i="1"/>
  <c r="AT109" i="1"/>
  <c r="AS109" i="1"/>
  <c r="AR109" i="1"/>
  <c r="AQ109" i="1"/>
  <c r="AP109" i="1"/>
  <c r="AO109" i="1"/>
  <c r="AN109" i="1"/>
  <c r="AM109" i="1"/>
  <c r="AL109" i="1"/>
  <c r="AK109" i="1"/>
  <c r="AJ109" i="1"/>
  <c r="AI109" i="1"/>
  <c r="AH109" i="1"/>
  <c r="AG109" i="1"/>
  <c r="AF109" i="1"/>
  <c r="AE109" i="1"/>
  <c r="AD109" i="1"/>
  <c r="AC109" i="1"/>
  <c r="AB109" i="1"/>
  <c r="AA109" i="1"/>
  <c r="Z109" i="1"/>
  <c r="Y109" i="1"/>
  <c r="X109" i="1"/>
  <c r="W109" i="1"/>
  <c r="V109" i="1"/>
  <c r="U109" i="1"/>
  <c r="T109" i="1"/>
  <c r="S109" i="1"/>
  <c r="R109" i="1"/>
  <c r="Q109" i="1"/>
  <c r="P109" i="1"/>
  <c r="O109" i="1"/>
  <c r="N109" i="1"/>
  <c r="M109" i="1"/>
  <c r="L109" i="1"/>
  <c r="K109" i="1"/>
  <c r="J109" i="1"/>
  <c r="I109" i="1"/>
  <c r="H109" i="1"/>
  <c r="G109" i="1"/>
  <c r="F109" i="1"/>
  <c r="E109" i="1"/>
  <c r="D109" i="1"/>
  <c r="C109" i="1"/>
  <c r="CM108" i="1"/>
  <c r="CL108" i="1"/>
  <c r="CK108" i="1"/>
  <c r="CJ108" i="1"/>
  <c r="CI108" i="1"/>
  <c r="CH108" i="1"/>
  <c r="CG108" i="1"/>
  <c r="CF108" i="1"/>
  <c r="CE108" i="1"/>
  <c r="CD108" i="1"/>
  <c r="CC108" i="1"/>
  <c r="CB108" i="1"/>
  <c r="CA108" i="1"/>
  <c r="BZ108" i="1"/>
  <c r="BY108" i="1"/>
  <c r="BX108" i="1"/>
  <c r="BW108" i="1"/>
  <c r="BV108" i="1"/>
  <c r="BU108" i="1"/>
  <c r="BT108" i="1"/>
  <c r="BS108" i="1"/>
  <c r="BR108" i="1"/>
  <c r="BQ108" i="1"/>
  <c r="BP108" i="1"/>
  <c r="BO108" i="1"/>
  <c r="BN108" i="1"/>
  <c r="BM108" i="1"/>
  <c r="BL108" i="1"/>
  <c r="BK108" i="1"/>
  <c r="BJ108" i="1"/>
  <c r="BI108" i="1"/>
  <c r="BH108" i="1"/>
  <c r="BG108" i="1"/>
  <c r="BF108" i="1"/>
  <c r="BE108" i="1"/>
  <c r="BD108" i="1"/>
  <c r="BC108" i="1"/>
  <c r="BB108" i="1"/>
  <c r="BA108" i="1"/>
  <c r="AZ108" i="1"/>
  <c r="AY108" i="1"/>
  <c r="AX108" i="1"/>
  <c r="AW108" i="1"/>
  <c r="AV108" i="1"/>
  <c r="AU108" i="1"/>
  <c r="AT108" i="1"/>
  <c r="AS108" i="1"/>
  <c r="AR108" i="1"/>
  <c r="AQ108" i="1"/>
  <c r="AP108" i="1"/>
  <c r="AO108" i="1"/>
  <c r="AN108" i="1"/>
  <c r="AM108" i="1"/>
  <c r="AL108" i="1"/>
  <c r="AK108" i="1"/>
  <c r="AJ108" i="1"/>
  <c r="AI108" i="1"/>
  <c r="AH108" i="1"/>
  <c r="AG108" i="1"/>
  <c r="AF108" i="1"/>
  <c r="AE108" i="1"/>
  <c r="AD108" i="1"/>
  <c r="AC108" i="1"/>
  <c r="AB108" i="1"/>
  <c r="AA108" i="1"/>
  <c r="Z108" i="1"/>
  <c r="Y108" i="1"/>
  <c r="X108" i="1"/>
  <c r="W108" i="1"/>
  <c r="V108" i="1"/>
  <c r="U108" i="1"/>
  <c r="T108" i="1"/>
  <c r="S108" i="1"/>
  <c r="R108" i="1"/>
  <c r="Q108" i="1"/>
  <c r="P108" i="1"/>
  <c r="O108" i="1"/>
  <c r="N108" i="1"/>
  <c r="M108" i="1"/>
  <c r="L108" i="1"/>
  <c r="K108" i="1"/>
  <c r="J108" i="1"/>
  <c r="I108" i="1"/>
  <c r="H108" i="1"/>
  <c r="G108" i="1"/>
  <c r="F108" i="1"/>
  <c r="E108" i="1"/>
  <c r="D108" i="1"/>
  <c r="C108" i="1"/>
  <c r="CM107" i="1"/>
  <c r="CL107" i="1"/>
  <c r="CK107" i="1"/>
  <c r="CJ107" i="1"/>
  <c r="CI107" i="1"/>
  <c r="CH107" i="1"/>
  <c r="CG107" i="1"/>
  <c r="CF107" i="1"/>
  <c r="CE107" i="1"/>
  <c r="CD107" i="1"/>
  <c r="CC107" i="1"/>
  <c r="CB107" i="1"/>
  <c r="CA107" i="1"/>
  <c r="BZ107" i="1"/>
  <c r="BY107" i="1"/>
  <c r="BX107" i="1"/>
  <c r="BW107" i="1"/>
  <c r="BV107" i="1"/>
  <c r="BU107" i="1"/>
  <c r="BT107" i="1"/>
  <c r="BS107" i="1"/>
  <c r="BR107" i="1"/>
  <c r="BQ107" i="1"/>
  <c r="BP107" i="1"/>
  <c r="BO107" i="1"/>
  <c r="BN107" i="1"/>
  <c r="BM107" i="1"/>
  <c r="BL107" i="1"/>
  <c r="BK107" i="1"/>
  <c r="BJ107" i="1"/>
  <c r="BI107" i="1"/>
  <c r="BH107" i="1"/>
  <c r="BG107" i="1"/>
  <c r="BF107" i="1"/>
  <c r="BE107" i="1"/>
  <c r="BD107" i="1"/>
  <c r="BC107" i="1"/>
  <c r="BB107" i="1"/>
  <c r="BA107" i="1"/>
  <c r="AZ107" i="1"/>
  <c r="AY107" i="1"/>
  <c r="AX107" i="1"/>
  <c r="AW107" i="1"/>
  <c r="AV107" i="1"/>
  <c r="AU107" i="1"/>
  <c r="AT107" i="1"/>
  <c r="AS107" i="1"/>
  <c r="AR107" i="1"/>
  <c r="AQ107" i="1"/>
  <c r="AP107" i="1"/>
  <c r="AO107" i="1"/>
  <c r="AN107" i="1"/>
  <c r="AM107" i="1"/>
  <c r="AL107" i="1"/>
  <c r="AK107" i="1"/>
  <c r="AJ107" i="1"/>
  <c r="AI107" i="1"/>
  <c r="AH107" i="1"/>
  <c r="AG107" i="1"/>
  <c r="AF107" i="1"/>
  <c r="AE107" i="1"/>
  <c r="AD107" i="1"/>
  <c r="AC107" i="1"/>
  <c r="AB107" i="1"/>
  <c r="AA107" i="1"/>
  <c r="Z107" i="1"/>
  <c r="Y107" i="1"/>
  <c r="X107" i="1"/>
  <c r="W107" i="1"/>
  <c r="V107" i="1"/>
  <c r="U107" i="1"/>
  <c r="T107" i="1"/>
  <c r="S107" i="1"/>
  <c r="R107" i="1"/>
  <c r="Q107" i="1"/>
  <c r="P107" i="1"/>
  <c r="O107" i="1"/>
  <c r="N107" i="1"/>
  <c r="M107" i="1"/>
  <c r="L107" i="1"/>
  <c r="K107" i="1"/>
  <c r="J107" i="1"/>
  <c r="I107" i="1"/>
  <c r="H107" i="1"/>
  <c r="G107" i="1"/>
  <c r="F107" i="1"/>
  <c r="E107" i="1"/>
  <c r="D107" i="1"/>
  <c r="C107" i="1"/>
  <c r="CM104" i="1"/>
  <c r="CL104" i="1"/>
  <c r="CK104" i="1"/>
  <c r="CJ104" i="1"/>
  <c r="CI104" i="1"/>
  <c r="CH104" i="1"/>
  <c r="CG104" i="1"/>
  <c r="CF104" i="1"/>
  <c r="CE104" i="1"/>
  <c r="CD104" i="1"/>
  <c r="CC104" i="1"/>
  <c r="CB104" i="1"/>
  <c r="CA104" i="1"/>
  <c r="BZ104" i="1"/>
  <c r="BY104" i="1"/>
  <c r="BX104" i="1"/>
  <c r="BW104" i="1"/>
  <c r="BV104" i="1"/>
  <c r="BU104" i="1"/>
  <c r="BT104" i="1"/>
  <c r="BS104" i="1"/>
  <c r="BR104" i="1"/>
  <c r="BQ104" i="1"/>
  <c r="BP104" i="1"/>
  <c r="BO104" i="1"/>
  <c r="BN104" i="1"/>
  <c r="BM104" i="1"/>
  <c r="BL104" i="1"/>
  <c r="BK104" i="1"/>
  <c r="BJ104" i="1"/>
  <c r="BI104" i="1"/>
  <c r="BH104" i="1"/>
  <c r="BG104" i="1"/>
  <c r="BF104" i="1"/>
  <c r="BE104" i="1"/>
  <c r="BD104" i="1"/>
  <c r="BC104" i="1"/>
  <c r="BB104" i="1"/>
  <c r="BA104" i="1"/>
  <c r="AZ104" i="1"/>
  <c r="AY104" i="1"/>
  <c r="AX104" i="1"/>
  <c r="AW104" i="1"/>
  <c r="AV104" i="1"/>
  <c r="AU104" i="1"/>
  <c r="AT104" i="1"/>
  <c r="AS104" i="1"/>
  <c r="AR104" i="1"/>
  <c r="AQ104" i="1"/>
  <c r="AP104" i="1"/>
  <c r="AO104" i="1"/>
  <c r="AN104" i="1"/>
  <c r="AM104" i="1"/>
  <c r="AL104" i="1"/>
  <c r="AK104" i="1"/>
  <c r="AJ104" i="1"/>
  <c r="AI104" i="1"/>
  <c r="AH104" i="1"/>
  <c r="AG104" i="1"/>
  <c r="AF104" i="1"/>
  <c r="AE104" i="1"/>
  <c r="AD104" i="1"/>
  <c r="AC104" i="1"/>
  <c r="AB104" i="1"/>
  <c r="AA104" i="1"/>
  <c r="Z104" i="1"/>
  <c r="Y104" i="1"/>
  <c r="X104" i="1"/>
  <c r="W104" i="1"/>
  <c r="V104" i="1"/>
  <c r="U104" i="1"/>
  <c r="T104" i="1"/>
  <c r="S104" i="1"/>
  <c r="R104" i="1"/>
  <c r="Q104" i="1"/>
  <c r="P104" i="1"/>
  <c r="O104" i="1"/>
  <c r="N104" i="1"/>
  <c r="M104" i="1"/>
  <c r="L104" i="1"/>
  <c r="K104" i="1"/>
  <c r="J104" i="1"/>
  <c r="I104" i="1"/>
  <c r="H104" i="1"/>
  <c r="G104" i="1"/>
  <c r="F104" i="1"/>
  <c r="E104" i="1"/>
  <c r="D104" i="1"/>
  <c r="C104" i="1"/>
  <c r="BR101" i="1"/>
  <c r="BQ101" i="1"/>
  <c r="BP101" i="1"/>
  <c r="BO101" i="1"/>
  <c r="BN101" i="1"/>
  <c r="BM101" i="1"/>
  <c r="BL101" i="1"/>
  <c r="BK101" i="1"/>
  <c r="BJ101" i="1"/>
  <c r="BI101" i="1"/>
  <c r="BH101" i="1"/>
  <c r="BG101" i="1"/>
  <c r="BF101" i="1"/>
  <c r="BE101" i="1"/>
  <c r="BD101" i="1"/>
  <c r="BC101" i="1"/>
  <c r="BB101" i="1"/>
  <c r="BA101" i="1"/>
  <c r="AZ101" i="1"/>
  <c r="AY101" i="1"/>
  <c r="AX101" i="1"/>
  <c r="AW101" i="1"/>
  <c r="AV101" i="1"/>
  <c r="AU101" i="1"/>
  <c r="AT101" i="1"/>
  <c r="AS101" i="1"/>
  <c r="AR101" i="1"/>
  <c r="AQ101" i="1"/>
  <c r="AP101" i="1"/>
  <c r="AO101" i="1"/>
  <c r="AN101" i="1"/>
  <c r="AM101" i="1"/>
  <c r="AL101" i="1"/>
  <c r="AK101" i="1"/>
  <c r="AJ101" i="1"/>
  <c r="AI101" i="1"/>
  <c r="AH101" i="1"/>
  <c r="AG101" i="1"/>
  <c r="AF101" i="1"/>
  <c r="AE101" i="1"/>
  <c r="AD101" i="1"/>
  <c r="AC101" i="1"/>
  <c r="AB101" i="1"/>
  <c r="AA101" i="1"/>
  <c r="Z101" i="1"/>
  <c r="Y101" i="1"/>
  <c r="X101" i="1"/>
  <c r="W101" i="1"/>
  <c r="V101" i="1"/>
  <c r="U101" i="1"/>
  <c r="T101" i="1"/>
  <c r="S101" i="1"/>
  <c r="R101" i="1"/>
  <c r="Q101" i="1"/>
  <c r="P101" i="1"/>
  <c r="O101" i="1"/>
  <c r="N101" i="1"/>
  <c r="M101" i="1"/>
  <c r="L101" i="1"/>
  <c r="K101" i="1"/>
  <c r="J101" i="1"/>
  <c r="I101" i="1"/>
  <c r="H101" i="1"/>
  <c r="G101" i="1"/>
  <c r="F101" i="1"/>
  <c r="E101" i="1"/>
  <c r="D101" i="1"/>
  <c r="C101" i="1"/>
  <c r="CM97" i="1"/>
  <c r="CL97" i="1"/>
  <c r="CK97" i="1"/>
  <c r="CJ97" i="1"/>
  <c r="CI97" i="1"/>
  <c r="CH97" i="1"/>
  <c r="CG97" i="1"/>
  <c r="CF97" i="1"/>
  <c r="CE97" i="1"/>
  <c r="CD97" i="1"/>
  <c r="CC97" i="1"/>
  <c r="CB97" i="1"/>
  <c r="CA97" i="1"/>
  <c r="BZ97" i="1"/>
  <c r="BY97" i="1"/>
  <c r="BX97" i="1"/>
  <c r="BW97" i="1"/>
  <c r="BV97" i="1"/>
  <c r="BU97" i="1"/>
  <c r="BT97" i="1"/>
  <c r="BS97" i="1"/>
  <c r="BR97" i="1"/>
  <c r="BQ97" i="1"/>
  <c r="BP97" i="1"/>
  <c r="BO97" i="1"/>
  <c r="BN97" i="1"/>
  <c r="BM97" i="1"/>
  <c r="BL97" i="1"/>
  <c r="BK97" i="1"/>
  <c r="BJ97" i="1"/>
  <c r="BI97" i="1"/>
  <c r="BH97" i="1"/>
  <c r="BG97" i="1"/>
  <c r="BF97" i="1"/>
  <c r="BF94" i="1" s="1"/>
  <c r="CC83" i="1"/>
  <c r="CB83" i="1"/>
  <c r="CA83" i="1"/>
  <c r="BZ83" i="1"/>
  <c r="BY83" i="1"/>
  <c r="BX83" i="1"/>
  <c r="BW83" i="1"/>
  <c r="BV83" i="1"/>
  <c r="BU83" i="1"/>
  <c r="BT83" i="1"/>
  <c r="BS83" i="1"/>
  <c r="BR83" i="1"/>
  <c r="BQ83" i="1"/>
  <c r="BP83" i="1"/>
  <c r="BO83" i="1"/>
  <c r="BN83" i="1"/>
  <c r="BM83" i="1"/>
  <c r="BL83" i="1"/>
  <c r="BK83" i="1"/>
  <c r="BJ83" i="1"/>
  <c r="BI83" i="1"/>
  <c r="BH83" i="1"/>
  <c r="BG83" i="1"/>
  <c r="BF83" i="1"/>
  <c r="BE83" i="1"/>
  <c r="BD83" i="1"/>
  <c r="BC83" i="1"/>
  <c r="BB83" i="1"/>
  <c r="BA83" i="1"/>
  <c r="AZ83" i="1"/>
  <c r="AY83" i="1"/>
  <c r="AX83" i="1"/>
  <c r="AW83" i="1"/>
  <c r="AV83" i="1"/>
  <c r="AU83" i="1"/>
  <c r="AT83" i="1"/>
  <c r="AS83" i="1"/>
  <c r="AR83" i="1"/>
  <c r="AQ83" i="1"/>
  <c r="AP83" i="1"/>
  <c r="AO83" i="1"/>
  <c r="AN83" i="1"/>
  <c r="AM83" i="1"/>
  <c r="AL83" i="1"/>
  <c r="AK83" i="1"/>
  <c r="AJ83" i="1"/>
  <c r="AI83" i="1"/>
  <c r="AH83" i="1"/>
  <c r="AG83" i="1"/>
  <c r="AF83" i="1"/>
  <c r="AE83" i="1"/>
  <c r="AD83" i="1"/>
  <c r="AC83" i="1"/>
  <c r="AB83" i="1"/>
  <c r="AA83" i="1"/>
  <c r="Z83" i="1"/>
  <c r="Y83" i="1"/>
  <c r="X83" i="1"/>
  <c r="W83" i="1"/>
  <c r="V83" i="1"/>
  <c r="U83" i="1"/>
  <c r="T83" i="1"/>
  <c r="S83" i="1"/>
  <c r="R83" i="1"/>
  <c r="Q83" i="1"/>
  <c r="P83" i="1"/>
  <c r="O83" i="1"/>
  <c r="N83" i="1"/>
  <c r="M83" i="1"/>
  <c r="L83" i="1"/>
  <c r="K83" i="1"/>
  <c r="J83" i="1"/>
  <c r="I83" i="1"/>
  <c r="H83" i="1"/>
  <c r="G83" i="1"/>
  <c r="F83" i="1"/>
  <c r="E83" i="1"/>
  <c r="D83" i="1"/>
  <c r="C83" i="1"/>
  <c r="B83" i="1"/>
  <c r="B88" i="1" s="1"/>
  <c r="BT74" i="1"/>
  <c r="BS74" i="1"/>
  <c r="BS73" i="1"/>
  <c r="BR73" i="1"/>
  <c r="BQ73" i="1"/>
  <c r="BP73" i="1"/>
  <c r="BO73" i="1"/>
  <c r="BN73" i="1"/>
  <c r="BK73" i="1"/>
  <c r="CM71" i="1"/>
  <c r="CL71" i="1"/>
  <c r="CK71" i="1"/>
  <c r="CJ71" i="1"/>
  <c r="CI71" i="1"/>
  <c r="CH71" i="1"/>
  <c r="CG71" i="1"/>
  <c r="CF71" i="1"/>
  <c r="CE71" i="1"/>
  <c r="CD71" i="1"/>
  <c r="CC71" i="1"/>
  <c r="CB71" i="1"/>
  <c r="CA71" i="1"/>
  <c r="BZ71" i="1"/>
  <c r="BY71" i="1"/>
  <c r="BX71" i="1"/>
  <c r="BW71" i="1"/>
  <c r="BV71" i="1"/>
  <c r="BU71" i="1"/>
  <c r="BT71" i="1"/>
  <c r="BS71" i="1"/>
  <c r="BR71" i="1"/>
  <c r="BQ71" i="1"/>
  <c r="BP71" i="1"/>
  <c r="BO71" i="1"/>
  <c r="BN71" i="1"/>
  <c r="BM71" i="1"/>
  <c r="BL71" i="1"/>
  <c r="BK71" i="1"/>
  <c r="BJ71" i="1"/>
  <c r="BI71" i="1"/>
  <c r="BH71" i="1"/>
  <c r="BG71" i="1"/>
  <c r="BF71" i="1"/>
  <c r="BE71" i="1"/>
  <c r="BD71" i="1"/>
  <c r="BC71" i="1"/>
  <c r="BB71" i="1"/>
  <c r="BA71" i="1"/>
  <c r="AZ71" i="1"/>
  <c r="AY71" i="1"/>
  <c r="AX71" i="1"/>
  <c r="AW71" i="1"/>
  <c r="AV71" i="1"/>
  <c r="AU71" i="1"/>
  <c r="AT71" i="1"/>
  <c r="AS71" i="1"/>
  <c r="AR71" i="1"/>
  <c r="AQ71" i="1"/>
  <c r="AP71" i="1"/>
  <c r="AO71" i="1"/>
  <c r="AN71" i="1"/>
  <c r="AM71" i="1"/>
  <c r="AL71" i="1"/>
  <c r="AK71" i="1"/>
  <c r="AJ71" i="1"/>
  <c r="AI71" i="1"/>
  <c r="AH71" i="1"/>
  <c r="CM67" i="1"/>
  <c r="CL67" i="1"/>
  <c r="CK67" i="1"/>
  <c r="CJ67" i="1"/>
  <c r="CI67" i="1"/>
  <c r="CH67" i="1"/>
  <c r="CG67" i="1"/>
  <c r="CF67" i="1"/>
  <c r="CE67" i="1"/>
  <c r="CD67" i="1"/>
  <c r="CC67" i="1"/>
  <c r="CB67" i="1"/>
  <c r="CA67" i="1"/>
  <c r="BZ67" i="1"/>
  <c r="BY67" i="1"/>
  <c r="BX67" i="1"/>
  <c r="BW67" i="1"/>
  <c r="BV67" i="1"/>
  <c r="BU67" i="1"/>
  <c r="BT67" i="1"/>
  <c r="BS67" i="1"/>
  <c r="BR67" i="1"/>
  <c r="BQ67" i="1"/>
  <c r="BP67" i="1"/>
  <c r="BO67" i="1"/>
  <c r="BN67" i="1"/>
  <c r="BM67" i="1"/>
  <c r="BL67" i="1"/>
  <c r="BK67" i="1"/>
  <c r="BJ67" i="1"/>
  <c r="BI67" i="1"/>
  <c r="BH67" i="1"/>
  <c r="BG67" i="1"/>
  <c r="BF67" i="1"/>
  <c r="BE67" i="1"/>
  <c r="BD67" i="1"/>
  <c r="BC67" i="1"/>
  <c r="BB67" i="1"/>
  <c r="BA67" i="1"/>
  <c r="AZ67" i="1"/>
  <c r="AY67" i="1"/>
  <c r="AX67" i="1"/>
  <c r="AW67" i="1"/>
  <c r="AV67" i="1"/>
  <c r="AU67" i="1"/>
  <c r="AT67" i="1"/>
  <c r="AS67" i="1"/>
  <c r="AR67" i="1"/>
  <c r="AQ67" i="1"/>
  <c r="AP67" i="1"/>
  <c r="AO67" i="1"/>
  <c r="AN67" i="1"/>
  <c r="AM67" i="1"/>
  <c r="AL67" i="1"/>
  <c r="AK67" i="1"/>
  <c r="AJ67" i="1"/>
  <c r="AI67" i="1"/>
  <c r="BV60" i="1"/>
  <c r="BT49" i="1"/>
  <c r="BS49" i="1"/>
  <c r="BT47" i="1"/>
  <c r="BS47" i="1"/>
  <c r="BS55" i="1" s="1"/>
  <c r="CM37" i="1"/>
  <c r="CL37" i="1"/>
  <c r="CK37" i="1"/>
  <c r="CJ37" i="1"/>
  <c r="CI37" i="1"/>
  <c r="CH37" i="1"/>
  <c r="CG37" i="1"/>
  <c r="CF37" i="1"/>
  <c r="CE37" i="1"/>
  <c r="CD37" i="1"/>
  <c r="CC37" i="1"/>
  <c r="CB37" i="1"/>
  <c r="CA37" i="1"/>
  <c r="BZ37" i="1"/>
  <c r="BY37" i="1"/>
  <c r="BX37" i="1"/>
  <c r="BW37" i="1"/>
  <c r="BU37" i="1"/>
  <c r="BT37" i="1"/>
  <c r="BM37" i="1"/>
  <c r="BL37" i="1"/>
  <c r="BJ37" i="1"/>
  <c r="BI37" i="1"/>
  <c r="BH37" i="1"/>
  <c r="BG37" i="1"/>
  <c r="BF37" i="1"/>
  <c r="BE37" i="1"/>
  <c r="BD37" i="1"/>
  <c r="BC37" i="1"/>
  <c r="BB37" i="1"/>
  <c r="BA37" i="1"/>
  <c r="AZ37" i="1"/>
  <c r="AY37" i="1"/>
  <c r="AX37" i="1"/>
  <c r="AW37" i="1"/>
  <c r="AV37" i="1"/>
  <c r="AU37" i="1"/>
  <c r="AU73" i="1" s="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R37" i="1"/>
  <c r="Q37" i="1"/>
  <c r="P37" i="1"/>
  <c r="O37" i="1"/>
  <c r="N37" i="1"/>
  <c r="M37" i="1"/>
  <c r="L37" i="1"/>
  <c r="K37" i="1"/>
  <c r="J37" i="1"/>
  <c r="I37" i="1"/>
  <c r="H37" i="1"/>
  <c r="G37" i="1"/>
  <c r="F37" i="1"/>
  <c r="E37" i="1"/>
  <c r="D37" i="1"/>
  <c r="C37" i="1"/>
  <c r="BV36" i="1"/>
  <c r="BV37" i="1" s="1"/>
  <c r="CM28" i="1"/>
  <c r="CL28" i="1"/>
  <c r="CK28" i="1"/>
  <c r="CJ28" i="1"/>
  <c r="CI28" i="1"/>
  <c r="CH28" i="1"/>
  <c r="CG28" i="1"/>
  <c r="CF28"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BD28" i="1"/>
  <c r="BC28" i="1"/>
  <c r="BB28"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V28" i="1"/>
  <c r="U28" i="1"/>
  <c r="T28" i="1"/>
  <c r="S28" i="1"/>
  <c r="R28" i="1"/>
  <c r="Q28" i="1"/>
  <c r="P28" i="1"/>
  <c r="O28" i="1"/>
  <c r="N28" i="1"/>
  <c r="M28" i="1"/>
  <c r="L28" i="1"/>
  <c r="K28" i="1"/>
  <c r="J28" i="1"/>
  <c r="I28" i="1"/>
  <c r="H28" i="1"/>
  <c r="G28" i="1"/>
  <c r="F28" i="1"/>
  <c r="E28" i="1"/>
  <c r="D28" i="1"/>
  <c r="C28" i="1"/>
  <c r="CM25" i="1"/>
  <c r="CL25" i="1"/>
  <c r="CK25" i="1"/>
  <c r="CJ25" i="1"/>
  <c r="CI25" i="1"/>
  <c r="CH25" i="1"/>
  <c r="CG25" i="1"/>
  <c r="CF25" i="1"/>
  <c r="CE25" i="1"/>
  <c r="CD25" i="1"/>
  <c r="CC25" i="1"/>
  <c r="CB25" i="1"/>
  <c r="CA25" i="1"/>
  <c r="BZ25" i="1"/>
  <c r="BY25" i="1"/>
  <c r="BX25" i="1"/>
  <c r="BW25" i="1"/>
  <c r="BV25" i="1"/>
  <c r="BU25" i="1"/>
  <c r="BT25" i="1"/>
  <c r="BS25" i="1"/>
  <c r="BR25" i="1"/>
  <c r="BQ25" i="1"/>
  <c r="BP25" i="1"/>
  <c r="BO25" i="1"/>
  <c r="BN25" i="1"/>
  <c r="BM25" i="1"/>
  <c r="BL25" i="1"/>
  <c r="BK25" i="1"/>
  <c r="CM20" i="1"/>
  <c r="CL20" i="1"/>
  <c r="CK20" i="1"/>
  <c r="CJ20" i="1"/>
  <c r="CI20" i="1"/>
  <c r="CH20" i="1"/>
  <c r="CG20" i="1"/>
  <c r="CF20" i="1"/>
  <c r="CE20" i="1"/>
  <c r="CD20" i="1"/>
  <c r="CC20" i="1"/>
  <c r="CB20" i="1"/>
  <c r="CA20" i="1"/>
  <c r="BZ20" i="1"/>
  <c r="BY20" i="1"/>
  <c r="BX20" i="1"/>
  <c r="BW20" i="1"/>
  <c r="BV20" i="1"/>
  <c r="BU20" i="1"/>
  <c r="BT20" i="1"/>
  <c r="BS20" i="1"/>
  <c r="BR20" i="1"/>
  <c r="BQ20" i="1"/>
  <c r="BP20" i="1"/>
  <c r="BO20" i="1"/>
  <c r="BN20" i="1"/>
  <c r="BM20" i="1"/>
  <c r="BL20" i="1"/>
  <c r="BK20" i="1"/>
  <c r="BJ20" i="1"/>
  <c r="BI20" i="1"/>
  <c r="BH20" i="1"/>
  <c r="BG20" i="1"/>
  <c r="BF20" i="1"/>
  <c r="BE20" i="1"/>
  <c r="BD20" i="1"/>
  <c r="BC20" i="1"/>
  <c r="BB20"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Q20" i="1"/>
  <c r="P20" i="1"/>
  <c r="O20" i="1"/>
  <c r="N20" i="1"/>
  <c r="M20" i="1"/>
  <c r="L20" i="1"/>
  <c r="K20" i="1"/>
  <c r="J20" i="1"/>
  <c r="I20" i="1"/>
  <c r="H20" i="1"/>
  <c r="G20" i="1"/>
  <c r="F20" i="1"/>
  <c r="E20" i="1"/>
  <c r="D20" i="1"/>
  <c r="C20" i="1"/>
  <c r="BG14" i="1"/>
  <c r="CM12" i="1"/>
  <c r="CL12" i="1"/>
  <c r="CL124" i="1" s="1"/>
  <c r="CK12" i="1"/>
  <c r="CK124" i="1" s="1"/>
  <c r="CJ12" i="1"/>
  <c r="CJ124" i="1" s="1"/>
  <c r="CI12" i="1"/>
  <c r="CI124" i="1" s="1"/>
  <c r="CH12" i="1"/>
  <c r="CH124" i="1" s="1"/>
  <c r="CG12" i="1"/>
  <c r="CG124" i="1" s="1"/>
  <c r="CF12" i="1"/>
  <c r="CF124" i="1" s="1"/>
  <c r="CE12" i="1"/>
  <c r="CD12" i="1"/>
  <c r="CD124" i="1" s="1"/>
  <c r="CC12" i="1"/>
  <c r="CC124" i="1" s="1"/>
  <c r="CB12" i="1"/>
  <c r="CB124" i="1" s="1"/>
  <c r="CA12" i="1"/>
  <c r="CA124" i="1" s="1"/>
  <c r="BZ12" i="1"/>
  <c r="BZ124" i="1" s="1"/>
  <c r="BY12" i="1"/>
  <c r="BY124" i="1" s="1"/>
  <c r="BX12" i="1"/>
  <c r="BX124" i="1" s="1"/>
  <c r="BW12" i="1"/>
  <c r="BV12" i="1"/>
  <c r="BV124" i="1" s="1"/>
  <c r="BU12" i="1"/>
  <c r="BU124" i="1" s="1"/>
  <c r="BT12" i="1"/>
  <c r="BT124" i="1" s="1"/>
  <c r="BS12" i="1"/>
  <c r="BS124" i="1" s="1"/>
  <c r="BR12" i="1"/>
  <c r="BR124" i="1" s="1"/>
  <c r="BQ12" i="1"/>
  <c r="BQ124" i="1" s="1"/>
  <c r="BP12" i="1"/>
  <c r="BP124" i="1" s="1"/>
  <c r="BO12" i="1"/>
  <c r="BN12" i="1"/>
  <c r="BN124" i="1" s="1"/>
  <c r="BM12" i="1"/>
  <c r="BM124" i="1" s="1"/>
  <c r="BL12" i="1"/>
  <c r="BL124" i="1" s="1"/>
  <c r="BK12" i="1"/>
  <c r="BK124" i="1" s="1"/>
  <c r="BJ12" i="1"/>
  <c r="BJ124" i="1" s="1"/>
  <c r="BI12" i="1"/>
  <c r="BI124" i="1" s="1"/>
  <c r="BH12" i="1"/>
  <c r="BH124" i="1" s="1"/>
  <c r="BF12" i="1"/>
  <c r="BF124" i="1" s="1"/>
  <c r="BE12" i="1"/>
  <c r="BE124" i="1" s="1"/>
  <c r="BD12" i="1"/>
  <c r="BD124" i="1" s="1"/>
  <c r="BC12" i="1"/>
  <c r="BC124" i="1" s="1"/>
  <c r="BB12" i="1"/>
  <c r="BB124" i="1" s="1"/>
  <c r="BA12" i="1"/>
  <c r="BA124" i="1" s="1"/>
  <c r="AZ12" i="1"/>
  <c r="AZ124" i="1" s="1"/>
  <c r="AY12" i="1"/>
  <c r="AY124" i="1" s="1"/>
  <c r="AX12" i="1"/>
  <c r="AX124" i="1" s="1"/>
  <c r="AW12" i="1"/>
  <c r="AW124" i="1" s="1"/>
  <c r="AV12" i="1"/>
  <c r="AV124" i="1" s="1"/>
  <c r="AU12" i="1"/>
  <c r="AU124" i="1" s="1"/>
  <c r="AT12" i="1"/>
  <c r="AT124" i="1" s="1"/>
  <c r="AS12" i="1"/>
  <c r="AS124" i="1" s="1"/>
  <c r="AR12" i="1"/>
  <c r="AR124" i="1" s="1"/>
  <c r="AQ12" i="1"/>
  <c r="AQ124" i="1" s="1"/>
  <c r="AP12" i="1"/>
  <c r="AP124" i="1" s="1"/>
  <c r="AO12" i="1"/>
  <c r="AO124" i="1" s="1"/>
  <c r="AN12" i="1"/>
  <c r="AN124" i="1" s="1"/>
  <c r="AM12" i="1"/>
  <c r="AM124" i="1" s="1"/>
  <c r="AL12" i="1"/>
  <c r="AL124" i="1" s="1"/>
  <c r="AK12" i="1"/>
  <c r="AK124" i="1" s="1"/>
  <c r="AJ12" i="1"/>
  <c r="AJ124" i="1" s="1"/>
  <c r="AI12" i="1"/>
  <c r="AI124" i="1" s="1"/>
  <c r="AH12" i="1"/>
  <c r="AH124" i="1" s="1"/>
  <c r="AG12" i="1"/>
  <c r="AG124" i="1" s="1"/>
  <c r="AF12" i="1"/>
  <c r="AF124" i="1" s="1"/>
  <c r="AE12" i="1"/>
  <c r="AE124" i="1" s="1"/>
  <c r="AD12" i="1"/>
  <c r="AD124" i="1" s="1"/>
  <c r="AC12" i="1"/>
  <c r="AC124" i="1" s="1"/>
  <c r="AB12" i="1"/>
  <c r="AB124" i="1" s="1"/>
  <c r="AA12" i="1"/>
  <c r="AA124" i="1" s="1"/>
  <c r="Z12" i="1"/>
  <c r="Z124" i="1" s="1"/>
  <c r="Y12" i="1"/>
  <c r="Y124" i="1" s="1"/>
  <c r="X12" i="1"/>
  <c r="X124" i="1" s="1"/>
  <c r="W12" i="1"/>
  <c r="W124" i="1" s="1"/>
  <c r="V12" i="1"/>
  <c r="V124" i="1" s="1"/>
  <c r="U12" i="1"/>
  <c r="U124" i="1" s="1"/>
  <c r="T12" i="1"/>
  <c r="T124" i="1" s="1"/>
  <c r="S12" i="1"/>
  <c r="S124" i="1" s="1"/>
  <c r="R12" i="1"/>
  <c r="R124" i="1" s="1"/>
  <c r="Q12" i="1"/>
  <c r="Q124" i="1" s="1"/>
  <c r="P12" i="1"/>
  <c r="P124" i="1" s="1"/>
  <c r="O12" i="1"/>
  <c r="O124" i="1" s="1"/>
  <c r="N12" i="1"/>
  <c r="N124" i="1" s="1"/>
  <c r="M12" i="1"/>
  <c r="M124" i="1" s="1"/>
  <c r="L12" i="1"/>
  <c r="L124" i="1" s="1"/>
  <c r="K12" i="1"/>
  <c r="K124" i="1" s="1"/>
  <c r="J12" i="1"/>
  <c r="J124" i="1" s="1"/>
  <c r="I12" i="1"/>
  <c r="I124" i="1" s="1"/>
  <c r="H12" i="1"/>
  <c r="H124" i="1" s="1"/>
  <c r="G12" i="1"/>
  <c r="G124" i="1" s="1"/>
  <c r="F12" i="1"/>
  <c r="F124" i="1" s="1"/>
  <c r="E12" i="1"/>
  <c r="E124" i="1" s="1"/>
  <c r="D12" i="1"/>
  <c r="D124" i="1" s="1"/>
  <c r="C12" i="1"/>
  <c r="C124" i="1" s="1"/>
  <c r="X25" i="2" l="1"/>
  <c r="D29" i="1"/>
  <c r="L29" i="1"/>
  <c r="T29" i="1"/>
  <c r="AB29" i="1"/>
  <c r="AJ29" i="1"/>
  <c r="AR29" i="1"/>
  <c r="AZ29" i="1"/>
  <c r="BH29" i="1"/>
  <c r="BP29" i="1"/>
  <c r="BX29" i="1"/>
  <c r="CF29" i="1"/>
  <c r="BV144" i="1"/>
  <c r="AH144" i="1"/>
  <c r="E29" i="1"/>
  <c r="M29" i="1"/>
  <c r="U29" i="1"/>
  <c r="AC29" i="1"/>
  <c r="AK29" i="1"/>
  <c r="AS29" i="1"/>
  <c r="BA29" i="1"/>
  <c r="BI29" i="1"/>
  <c r="BQ29" i="1"/>
  <c r="BY29" i="1"/>
  <c r="CG29" i="1"/>
  <c r="H29" i="1"/>
  <c r="X29" i="1"/>
  <c r="AN29" i="1"/>
  <c r="BD29" i="1"/>
  <c r="BT29" i="1"/>
  <c r="CB29" i="1"/>
  <c r="P29" i="1"/>
  <c r="AF29" i="1"/>
  <c r="AV29" i="1"/>
  <c r="BL29" i="1"/>
  <c r="CJ29" i="1"/>
  <c r="J29" i="1"/>
  <c r="R29" i="1"/>
  <c r="Z29" i="1"/>
  <c r="AH29" i="1"/>
  <c r="AP29" i="1"/>
  <c r="AX29" i="1"/>
  <c r="BF29" i="1"/>
  <c r="BN29" i="1"/>
  <c r="BV29" i="1"/>
  <c r="CD29" i="1"/>
  <c r="CL29" i="1"/>
  <c r="BF144" i="1"/>
  <c r="O29" i="1"/>
  <c r="W29" i="1"/>
  <c r="AE29" i="1"/>
  <c r="AM29" i="1"/>
  <c r="AU29" i="1"/>
  <c r="BC29" i="1"/>
  <c r="BK29" i="1"/>
  <c r="BS29" i="1"/>
  <c r="CA29" i="1"/>
  <c r="CI29" i="1"/>
  <c r="G29" i="1"/>
  <c r="CN29" i="1"/>
  <c r="AP14" i="1"/>
  <c r="BH14" i="1"/>
  <c r="CN73" i="1"/>
  <c r="C29" i="1"/>
  <c r="K29" i="1"/>
  <c r="S29" i="1"/>
  <c r="AA29" i="1"/>
  <c r="AI29" i="1"/>
  <c r="AQ29" i="1"/>
  <c r="AY29" i="1"/>
  <c r="BG29" i="1"/>
  <c r="BG31" i="1" s="1"/>
  <c r="BG136" i="1" s="1"/>
  <c r="BO29" i="1"/>
  <c r="BW29" i="1"/>
  <c r="CE29" i="1"/>
  <c r="CM29" i="1"/>
  <c r="CN144" i="1"/>
  <c r="CN129" i="1"/>
  <c r="CN14" i="1"/>
  <c r="BF14" i="1"/>
  <c r="BX14" i="1"/>
  <c r="U144" i="1"/>
  <c r="AX144" i="1"/>
  <c r="CD144" i="1"/>
  <c r="BV14" i="1"/>
  <c r="CB14" i="1"/>
  <c r="F29" i="1"/>
  <c r="N29" i="1"/>
  <c r="V29" i="1"/>
  <c r="AD29" i="1"/>
  <c r="AL29" i="1"/>
  <c r="AT29" i="1"/>
  <c r="BB29" i="1"/>
  <c r="BJ29" i="1"/>
  <c r="BR29" i="1"/>
  <c r="BZ29" i="1"/>
  <c r="CH29" i="1"/>
  <c r="Z144" i="1"/>
  <c r="BA144" i="1"/>
  <c r="CG144" i="1"/>
  <c r="AC144" i="1"/>
  <c r="CL144" i="1"/>
  <c r="BL14" i="1"/>
  <c r="CF14" i="1"/>
  <c r="I145" i="1"/>
  <c r="J14" i="1"/>
  <c r="BN14" i="1"/>
  <c r="CJ14" i="1"/>
  <c r="I29" i="1"/>
  <c r="Q29" i="1"/>
  <c r="Y29" i="1"/>
  <c r="AG29" i="1"/>
  <c r="AO29" i="1"/>
  <c r="AW29" i="1"/>
  <c r="BE29" i="1"/>
  <c r="BM29" i="1"/>
  <c r="BU29" i="1"/>
  <c r="CC29" i="1"/>
  <c r="CK29" i="1"/>
  <c r="E144" i="1"/>
  <c r="AK144" i="1"/>
  <c r="BI144" i="1"/>
  <c r="CD14" i="1"/>
  <c r="Z14" i="1"/>
  <c r="BP14" i="1"/>
  <c r="CL14" i="1"/>
  <c r="J144" i="1"/>
  <c r="AP144" i="1"/>
  <c r="BN144" i="1"/>
  <c r="AH14" i="1"/>
  <c r="BT14" i="1"/>
  <c r="M144" i="1"/>
  <c r="AS144" i="1"/>
  <c r="BQ144" i="1"/>
  <c r="R144" i="1"/>
  <c r="AW144" i="1"/>
  <c r="BY144" i="1"/>
  <c r="BU145" i="1"/>
  <c r="CA137" i="1"/>
  <c r="CA73" i="1"/>
  <c r="CA129" i="1"/>
  <c r="AX14" i="1"/>
  <c r="H137" i="1"/>
  <c r="H129" i="1"/>
  <c r="P137" i="1"/>
  <c r="P129" i="1"/>
  <c r="X137" i="1"/>
  <c r="X129" i="1"/>
  <c r="AF137" i="1"/>
  <c r="AF129" i="1"/>
  <c r="AN137" i="1"/>
  <c r="AN129" i="1"/>
  <c r="AN73" i="1"/>
  <c r="AV137" i="1"/>
  <c r="AV129" i="1"/>
  <c r="AV73" i="1"/>
  <c r="BD137" i="1"/>
  <c r="BD129" i="1"/>
  <c r="BD73" i="1"/>
  <c r="BM137" i="1"/>
  <c r="BM129" i="1"/>
  <c r="BM73" i="1"/>
  <c r="CI137" i="1"/>
  <c r="CI129" i="1"/>
  <c r="CI73" i="1"/>
  <c r="BO124" i="1"/>
  <c r="BO14" i="1"/>
  <c r="BW124" i="1"/>
  <c r="BW14" i="1"/>
  <c r="CE124" i="1"/>
  <c r="CE14" i="1"/>
  <c r="CM124" i="1"/>
  <c r="CM14" i="1"/>
  <c r="BV137" i="1"/>
  <c r="BV129" i="1"/>
  <c r="BV73" i="1"/>
  <c r="R14" i="1"/>
  <c r="H14" i="1"/>
  <c r="X14" i="1"/>
  <c r="AN14" i="1"/>
  <c r="I14" i="1"/>
  <c r="Q14" i="1"/>
  <c r="Y14" i="1"/>
  <c r="AG14" i="1"/>
  <c r="AO14" i="1"/>
  <c r="AW14" i="1"/>
  <c r="BE14" i="1"/>
  <c r="BM14" i="1"/>
  <c r="BU14" i="1"/>
  <c r="CC14" i="1"/>
  <c r="CK14" i="1"/>
  <c r="G137" i="1"/>
  <c r="G129" i="1"/>
  <c r="O137" i="1"/>
  <c r="O129" i="1"/>
  <c r="W137" i="1"/>
  <c r="W129" i="1"/>
  <c r="AE137" i="1"/>
  <c r="AE129" i="1"/>
  <c r="AM137" i="1"/>
  <c r="AM129" i="1"/>
  <c r="AM73" i="1"/>
  <c r="C14" i="1"/>
  <c r="K14" i="1"/>
  <c r="S14" i="1"/>
  <c r="AA14" i="1"/>
  <c r="AI14" i="1"/>
  <c r="AQ14" i="1"/>
  <c r="AY14" i="1"/>
  <c r="I137" i="1"/>
  <c r="I129" i="1"/>
  <c r="Q137" i="1"/>
  <c r="Q129" i="1"/>
  <c r="Y137" i="1"/>
  <c r="Y129" i="1"/>
  <c r="AG137" i="1"/>
  <c r="AG129" i="1"/>
  <c r="AO137" i="1"/>
  <c r="AO129" i="1"/>
  <c r="AO73" i="1"/>
  <c r="AW137" i="1"/>
  <c r="AW129" i="1"/>
  <c r="AW73" i="1"/>
  <c r="BE137" i="1"/>
  <c r="BE129" i="1"/>
  <c r="BE73" i="1"/>
  <c r="BT137" i="1"/>
  <c r="BT129" i="1"/>
  <c r="BT73" i="1"/>
  <c r="CB137" i="1"/>
  <c r="CB129" i="1"/>
  <c r="CJ137" i="1"/>
  <c r="CJ129" i="1"/>
  <c r="CJ73" i="1"/>
  <c r="BT56" i="1"/>
  <c r="BT57" i="1"/>
  <c r="BT55" i="1"/>
  <c r="L14" i="1"/>
  <c r="AB14" i="1"/>
  <c r="AJ14" i="1"/>
  <c r="J137" i="1"/>
  <c r="J129" i="1"/>
  <c r="R137" i="1"/>
  <c r="R129" i="1"/>
  <c r="Z137" i="1"/>
  <c r="Z129" i="1"/>
  <c r="AH137" i="1"/>
  <c r="AH129" i="1"/>
  <c r="AP137" i="1"/>
  <c r="AP129" i="1"/>
  <c r="AP73" i="1"/>
  <c r="AX137" i="1"/>
  <c r="AX129" i="1"/>
  <c r="AX73" i="1"/>
  <c r="BF137" i="1"/>
  <c r="BF129" i="1"/>
  <c r="BF73" i="1"/>
  <c r="BU137" i="1"/>
  <c r="BU129" i="1"/>
  <c r="BU73" i="1"/>
  <c r="CC137" i="1"/>
  <c r="CC129" i="1"/>
  <c r="CC73" i="1"/>
  <c r="CK137" i="1"/>
  <c r="CK129" i="1"/>
  <c r="CK73" i="1"/>
  <c r="T14" i="1"/>
  <c r="AZ14" i="1"/>
  <c r="E14" i="1"/>
  <c r="M14" i="1"/>
  <c r="U14" i="1"/>
  <c r="AC14" i="1"/>
  <c r="AK14" i="1"/>
  <c r="AS14" i="1"/>
  <c r="BA14" i="1"/>
  <c r="BI14" i="1"/>
  <c r="BQ14" i="1"/>
  <c r="BY14" i="1"/>
  <c r="CG14" i="1"/>
  <c r="C137" i="1"/>
  <c r="C129" i="1"/>
  <c r="K129" i="1"/>
  <c r="K137" i="1"/>
  <c r="S137" i="1"/>
  <c r="S129" i="1"/>
  <c r="AA129" i="1"/>
  <c r="AA137" i="1"/>
  <c r="AI129" i="1"/>
  <c r="AI137" i="1"/>
  <c r="AI73" i="1"/>
  <c r="AQ137" i="1"/>
  <c r="AQ129" i="1"/>
  <c r="AQ73" i="1"/>
  <c r="AY129" i="1"/>
  <c r="AY137" i="1"/>
  <c r="AY73" i="1"/>
  <c r="BG137" i="1"/>
  <c r="BG129" i="1"/>
  <c r="BG73" i="1"/>
  <c r="CD137" i="1"/>
  <c r="CD73" i="1"/>
  <c r="CD129" i="1"/>
  <c r="CL137" i="1"/>
  <c r="CL129" i="1"/>
  <c r="CL73" i="1"/>
  <c r="CB73" i="1"/>
  <c r="D14" i="1"/>
  <c r="D31" i="1" s="1"/>
  <c r="AR14" i="1"/>
  <c r="F14" i="1"/>
  <c r="N14" i="1"/>
  <c r="V14" i="1"/>
  <c r="AD14" i="1"/>
  <c r="AL14" i="1"/>
  <c r="AT14" i="1"/>
  <c r="BB14" i="1"/>
  <c r="BJ14" i="1"/>
  <c r="BR14" i="1"/>
  <c r="BZ14" i="1"/>
  <c r="CH14" i="1"/>
  <c r="D129" i="1"/>
  <c r="D137" i="1"/>
  <c r="L129" i="1"/>
  <c r="L137" i="1"/>
  <c r="T137" i="1"/>
  <c r="T129" i="1"/>
  <c r="AB129" i="1"/>
  <c r="AB137" i="1"/>
  <c r="AJ129" i="1"/>
  <c r="AJ137" i="1"/>
  <c r="AJ73" i="1"/>
  <c r="AR137" i="1"/>
  <c r="AR129" i="1"/>
  <c r="AR73" i="1"/>
  <c r="AZ129" i="1"/>
  <c r="AZ137" i="1"/>
  <c r="AZ73" i="1"/>
  <c r="BH137" i="1"/>
  <c r="BH129" i="1"/>
  <c r="BH73" i="1"/>
  <c r="BW129" i="1"/>
  <c r="BW137" i="1"/>
  <c r="BW73" i="1"/>
  <c r="CE137" i="1"/>
  <c r="CE129" i="1"/>
  <c r="CE73" i="1"/>
  <c r="CM129" i="1"/>
  <c r="CM137" i="1"/>
  <c r="CM73" i="1"/>
  <c r="G14" i="1"/>
  <c r="O14" i="1"/>
  <c r="W14" i="1"/>
  <c r="AE14" i="1"/>
  <c r="AM14" i="1"/>
  <c r="AU14" i="1"/>
  <c r="BC14" i="1"/>
  <c r="BK14" i="1"/>
  <c r="BS14" i="1"/>
  <c r="CA14" i="1"/>
  <c r="CI14" i="1"/>
  <c r="E137" i="1"/>
  <c r="E129" i="1"/>
  <c r="M137" i="1"/>
  <c r="M129" i="1"/>
  <c r="U137" i="1"/>
  <c r="U129" i="1"/>
  <c r="AC137" i="1"/>
  <c r="AC129" i="1"/>
  <c r="AK137" i="1"/>
  <c r="AK129" i="1"/>
  <c r="AK73" i="1"/>
  <c r="AS137" i="1"/>
  <c r="AS129" i="1"/>
  <c r="AS73" i="1"/>
  <c r="BA137" i="1"/>
  <c r="BA129" i="1"/>
  <c r="BA73" i="1"/>
  <c r="BI137" i="1"/>
  <c r="BI129" i="1"/>
  <c r="BI73" i="1"/>
  <c r="BX129" i="1"/>
  <c r="BX137" i="1"/>
  <c r="BX73" i="1"/>
  <c r="CF137" i="1"/>
  <c r="CF129" i="1"/>
  <c r="CF73" i="1"/>
  <c r="P14" i="1"/>
  <c r="AF14" i="1"/>
  <c r="AV14" i="1"/>
  <c r="BD14" i="1"/>
  <c r="BS56" i="1"/>
  <c r="BS57" i="1"/>
  <c r="F137" i="1"/>
  <c r="F129" i="1"/>
  <c r="N137" i="1"/>
  <c r="N129" i="1"/>
  <c r="V137" i="1"/>
  <c r="V129" i="1"/>
  <c r="AD137" i="1"/>
  <c r="AD129" i="1"/>
  <c r="AL137" i="1"/>
  <c r="AL129" i="1"/>
  <c r="AL73" i="1"/>
  <c r="AT137" i="1"/>
  <c r="AT129" i="1"/>
  <c r="AT73" i="1"/>
  <c r="BB137" i="1"/>
  <c r="BB129" i="1"/>
  <c r="BB73" i="1"/>
  <c r="BJ137" i="1"/>
  <c r="BJ129" i="1"/>
  <c r="BJ73" i="1"/>
  <c r="BY137" i="1"/>
  <c r="BY129" i="1"/>
  <c r="BY73" i="1"/>
  <c r="CG137" i="1"/>
  <c r="CG129" i="1"/>
  <c r="CG73" i="1"/>
  <c r="AU129" i="1"/>
  <c r="BC129" i="1"/>
  <c r="BC73" i="1"/>
  <c r="BC137" i="1"/>
  <c r="BL137" i="1"/>
  <c r="BL129" i="1"/>
  <c r="BL73" i="1"/>
  <c r="BZ137" i="1"/>
  <c r="BZ129" i="1"/>
  <c r="BZ73" i="1"/>
  <c r="CH137" i="1"/>
  <c r="CH129" i="1"/>
  <c r="CH73" i="1"/>
  <c r="AU137" i="1"/>
  <c r="H144" i="1"/>
  <c r="H145" i="1"/>
  <c r="P144" i="1"/>
  <c r="P145" i="1"/>
  <c r="X144" i="1"/>
  <c r="X145" i="1"/>
  <c r="AF144" i="1"/>
  <c r="AF145" i="1"/>
  <c r="AN144" i="1"/>
  <c r="AN145" i="1"/>
  <c r="AV144" i="1"/>
  <c r="AV145" i="1"/>
  <c r="BD144" i="1"/>
  <c r="BD145" i="1"/>
  <c r="BL144" i="1"/>
  <c r="BL145" i="1"/>
  <c r="BT144" i="1"/>
  <c r="BT145" i="1"/>
  <c r="CB144" i="1"/>
  <c r="CB145" i="1"/>
  <c r="CJ144" i="1"/>
  <c r="CJ145" i="1"/>
  <c r="D145" i="1"/>
  <c r="Q144" i="1"/>
  <c r="CC144" i="1"/>
  <c r="AG145" i="1"/>
  <c r="AO144" i="1"/>
  <c r="BE145" i="1"/>
  <c r="BM144" i="1"/>
  <c r="Q145" i="1"/>
  <c r="CC145" i="1"/>
  <c r="L144" i="1"/>
  <c r="T144" i="1"/>
  <c r="AB144" i="1"/>
  <c r="AJ144" i="1"/>
  <c r="AR144" i="1"/>
  <c r="AZ144" i="1"/>
  <c r="BH144" i="1"/>
  <c r="BP144" i="1"/>
  <c r="BX144" i="1"/>
  <c r="CF144" i="1"/>
  <c r="Y144" i="1"/>
  <c r="CK144" i="1"/>
  <c r="T145" i="1"/>
  <c r="AO145" i="1"/>
  <c r="CF145" i="1"/>
  <c r="C144" i="1"/>
  <c r="K144" i="1"/>
  <c r="S144" i="1"/>
  <c r="AA144" i="1"/>
  <c r="AI144" i="1"/>
  <c r="AQ144" i="1"/>
  <c r="AY144" i="1"/>
  <c r="BG144" i="1"/>
  <c r="BO144" i="1"/>
  <c r="BW144" i="1"/>
  <c r="CE144" i="1"/>
  <c r="CM144" i="1"/>
  <c r="F144" i="1"/>
  <c r="N144" i="1"/>
  <c r="V144" i="1"/>
  <c r="AD144" i="1"/>
  <c r="AL144" i="1"/>
  <c r="AT144" i="1"/>
  <c r="BB144" i="1"/>
  <c r="BJ144" i="1"/>
  <c r="BR144" i="1"/>
  <c r="BZ144" i="1"/>
  <c r="CH144" i="1"/>
  <c r="G144" i="1"/>
  <c r="O144" i="1"/>
  <c r="W144" i="1"/>
  <c r="AE144" i="1"/>
  <c r="AM144" i="1"/>
  <c r="AU144" i="1"/>
  <c r="BC144" i="1"/>
  <c r="BK144" i="1"/>
  <c r="BS144" i="1"/>
  <c r="CA144" i="1"/>
  <c r="CI144" i="1"/>
  <c r="AP31" i="1" l="1"/>
  <c r="AP72" i="1" s="1"/>
  <c r="CL31" i="1"/>
  <c r="CL128" i="1" s="1"/>
  <c r="BC31" i="1"/>
  <c r="BC128" i="1" s="1"/>
  <c r="T31" i="1"/>
  <c r="T54" i="1" s="1"/>
  <c r="CB31" i="1"/>
  <c r="CB128" i="1" s="1"/>
  <c r="CN31" i="1"/>
  <c r="CN72" i="1" s="1"/>
  <c r="Z31" i="1"/>
  <c r="Z54" i="1" s="1"/>
  <c r="BY31" i="1"/>
  <c r="BY54" i="1" s="1"/>
  <c r="M31" i="1"/>
  <c r="M54" i="1" s="1"/>
  <c r="L31" i="1"/>
  <c r="L136" i="1" s="1"/>
  <c r="BB31" i="1"/>
  <c r="BB54" i="1" s="1"/>
  <c r="AQ31" i="1"/>
  <c r="AQ54" i="1" s="1"/>
  <c r="P31" i="1"/>
  <c r="P128" i="1" s="1"/>
  <c r="H31" i="1"/>
  <c r="H54" i="1" s="1"/>
  <c r="AJ31" i="1"/>
  <c r="AJ128" i="1" s="1"/>
  <c r="AK31" i="1"/>
  <c r="AK54" i="1" s="1"/>
  <c r="CG31" i="1"/>
  <c r="CG54" i="1" s="1"/>
  <c r="U31" i="1"/>
  <c r="U54" i="1" s="1"/>
  <c r="CA31" i="1"/>
  <c r="CA54" i="1" s="1"/>
  <c r="O31" i="1"/>
  <c r="O54" i="1" s="1"/>
  <c r="AX31" i="1"/>
  <c r="AX136" i="1" s="1"/>
  <c r="CF31" i="1"/>
  <c r="CF39" i="1" s="1"/>
  <c r="CF43" i="1" s="1"/>
  <c r="CF130" i="1" s="1"/>
  <c r="AV31" i="1"/>
  <c r="AV136" i="1" s="1"/>
  <c r="BK31" i="1"/>
  <c r="BK44" i="1" s="1"/>
  <c r="BX31" i="1"/>
  <c r="BX128" i="1" s="1"/>
  <c r="AB31" i="1"/>
  <c r="AB39" i="1" s="1"/>
  <c r="AB43" i="1" s="1"/>
  <c r="BS31" i="1"/>
  <c r="BS39" i="1" s="1"/>
  <c r="CL39" i="1"/>
  <c r="CL43" i="1" s="1"/>
  <c r="CL130" i="1" s="1"/>
  <c r="BL31" i="1"/>
  <c r="BL72" i="1" s="1"/>
  <c r="CL54" i="1"/>
  <c r="BO31" i="1"/>
  <c r="BO136" i="1" s="1"/>
  <c r="BJ31" i="1"/>
  <c r="BJ54" i="1" s="1"/>
  <c r="AR31" i="1"/>
  <c r="AR54" i="1" s="1"/>
  <c r="CK31" i="1"/>
  <c r="CK128" i="1" s="1"/>
  <c r="Y31" i="1"/>
  <c r="Y44" i="1" s="1"/>
  <c r="BM31" i="1"/>
  <c r="BM54" i="1" s="1"/>
  <c r="BF31" i="1"/>
  <c r="BF128" i="1" s="1"/>
  <c r="X31" i="1"/>
  <c r="X54" i="1" s="1"/>
  <c r="BP31" i="1"/>
  <c r="BP136" i="1" s="1"/>
  <c r="CI31" i="1"/>
  <c r="CI54" i="1" s="1"/>
  <c r="W31" i="1"/>
  <c r="W54" i="1" s="1"/>
  <c r="AS31" i="1"/>
  <c r="AS54" i="1" s="1"/>
  <c r="AY31" i="1"/>
  <c r="AY54" i="1" s="1"/>
  <c r="AH31" i="1"/>
  <c r="AH39" i="1" s="1"/>
  <c r="AH43" i="1" s="1"/>
  <c r="AH130" i="1" s="1"/>
  <c r="G31" i="1"/>
  <c r="G54" i="1" s="1"/>
  <c r="AO31" i="1"/>
  <c r="AO136" i="1" s="1"/>
  <c r="AG31" i="1"/>
  <c r="AG54" i="1" s="1"/>
  <c r="AM31" i="1"/>
  <c r="AM54" i="1" s="1"/>
  <c r="AE31" i="1"/>
  <c r="AE136" i="1" s="1"/>
  <c r="BI31" i="1"/>
  <c r="BI54" i="1" s="1"/>
  <c r="AZ31" i="1"/>
  <c r="AZ54" i="1" s="1"/>
  <c r="AA31" i="1"/>
  <c r="AA44" i="1" s="1"/>
  <c r="CJ31" i="1"/>
  <c r="BV31" i="1"/>
  <c r="BH31" i="1"/>
  <c r="BD31" i="1"/>
  <c r="BD54" i="1" s="1"/>
  <c r="BA31" i="1"/>
  <c r="BA54" i="1" s="1"/>
  <c r="BU31" i="1"/>
  <c r="BU54" i="1" s="1"/>
  <c r="I31" i="1"/>
  <c r="I54" i="1" s="1"/>
  <c r="BN31" i="1"/>
  <c r="BN128" i="1" s="1"/>
  <c r="AD31" i="1"/>
  <c r="AD54" i="1" s="1"/>
  <c r="AN31" i="1"/>
  <c r="AN54" i="1" s="1"/>
  <c r="CM31" i="1"/>
  <c r="CM54" i="1" s="1"/>
  <c r="J31" i="1"/>
  <c r="J136" i="1" s="1"/>
  <c r="BT31" i="1"/>
  <c r="AF31" i="1"/>
  <c r="AF136" i="1" s="1"/>
  <c r="BG54" i="1"/>
  <c r="BQ31" i="1"/>
  <c r="BQ136" i="1" s="1"/>
  <c r="E31" i="1"/>
  <c r="E54" i="1" s="1"/>
  <c r="CD31" i="1"/>
  <c r="CD72" i="1" s="1"/>
  <c r="BG39" i="1"/>
  <c r="BG43" i="1" s="1"/>
  <c r="BG138" i="1" s="1"/>
  <c r="AU31" i="1"/>
  <c r="AU54" i="1" s="1"/>
  <c r="AC31" i="1"/>
  <c r="AC54" i="1" s="1"/>
  <c r="R31" i="1"/>
  <c r="R54" i="1" s="1"/>
  <c r="CC31" i="1"/>
  <c r="CC54" i="1" s="1"/>
  <c r="Q31" i="1"/>
  <c r="Q54" i="1" s="1"/>
  <c r="AL31" i="1"/>
  <c r="AL54" i="1" s="1"/>
  <c r="C31" i="1"/>
  <c r="C136" i="1" s="1"/>
  <c r="CL44" i="1"/>
  <c r="CL72" i="1"/>
  <c r="BR31" i="1"/>
  <c r="BR136" i="1" s="1"/>
  <c r="F31" i="1"/>
  <c r="F54" i="1" s="1"/>
  <c r="AI31" i="1"/>
  <c r="AI54" i="1" s="1"/>
  <c r="BG44" i="1"/>
  <c r="BG128" i="1"/>
  <c r="BG72" i="1"/>
  <c r="CH31" i="1"/>
  <c r="CH54" i="1" s="1"/>
  <c r="V31" i="1"/>
  <c r="V136" i="1" s="1"/>
  <c r="S31" i="1"/>
  <c r="S54" i="1" s="1"/>
  <c r="BZ31" i="1"/>
  <c r="BZ54" i="1" s="1"/>
  <c r="N31" i="1"/>
  <c r="N54" i="1" s="1"/>
  <c r="K31" i="1"/>
  <c r="K54" i="1" s="1"/>
  <c r="CE31" i="1"/>
  <c r="CE54" i="1" s="1"/>
  <c r="BW31" i="1"/>
  <c r="BW54" i="1" s="1"/>
  <c r="CN44" i="1"/>
  <c r="CN39" i="1"/>
  <c r="CN43" i="1" s="1"/>
  <c r="AT31" i="1"/>
  <c r="AT54" i="1" s="1"/>
  <c r="BE31" i="1"/>
  <c r="BE54" i="1" s="1"/>
  <c r="AW31" i="1"/>
  <c r="AW54" i="1" s="1"/>
  <c r="BC136" i="1"/>
  <c r="BC54" i="1"/>
  <c r="BC44" i="1"/>
  <c r="D136" i="1"/>
  <c r="D128" i="1"/>
  <c r="D44" i="1"/>
  <c r="D39" i="1"/>
  <c r="D43" i="1" s="1"/>
  <c r="D54" i="1"/>
  <c r="T44" i="1"/>
  <c r="T39" i="1"/>
  <c r="T43" i="1" s="1"/>
  <c r="AD39" i="1" l="1"/>
  <c r="AD43" i="1" s="1"/>
  <c r="AD44" i="1"/>
  <c r="AP44" i="1"/>
  <c r="AP39" i="1"/>
  <c r="AP43" i="1" s="1"/>
  <c r="AP47" i="1" s="1"/>
  <c r="AP136" i="1"/>
  <c r="CL136" i="1"/>
  <c r="AP128" i="1"/>
  <c r="AP54" i="1"/>
  <c r="BK136" i="1"/>
  <c r="BC39" i="1"/>
  <c r="BC43" i="1" s="1"/>
  <c r="BC47" i="1" s="1"/>
  <c r="CA44" i="1"/>
  <c r="R39" i="1"/>
  <c r="R43" i="1" s="1"/>
  <c r="R130" i="1" s="1"/>
  <c r="AX39" i="1"/>
  <c r="AX43" i="1" s="1"/>
  <c r="AX130" i="1" s="1"/>
  <c r="M39" i="1"/>
  <c r="M43" i="1" s="1"/>
  <c r="M138" i="1" s="1"/>
  <c r="BY136" i="1"/>
  <c r="Z39" i="1"/>
  <c r="Z43" i="1" s="1"/>
  <c r="Z49" i="1" s="1"/>
  <c r="BY128" i="1"/>
  <c r="BB136" i="1"/>
  <c r="H136" i="1"/>
  <c r="BY44" i="1"/>
  <c r="BY72" i="1"/>
  <c r="CF52" i="1"/>
  <c r="BY39" i="1"/>
  <c r="BY43" i="1" s="1"/>
  <c r="BY130" i="1" s="1"/>
  <c r="AK136" i="1"/>
  <c r="CB44" i="1"/>
  <c r="BB39" i="1"/>
  <c r="BB43" i="1" s="1"/>
  <c r="BB49" i="1" s="1"/>
  <c r="Z44" i="1"/>
  <c r="BB44" i="1"/>
  <c r="Z136" i="1"/>
  <c r="CN128" i="1"/>
  <c r="H39" i="1"/>
  <c r="H43" i="1" s="1"/>
  <c r="H52" i="1" s="1"/>
  <c r="BB72" i="1"/>
  <c r="H128" i="1"/>
  <c r="BB128" i="1"/>
  <c r="CB54" i="1"/>
  <c r="AQ128" i="1"/>
  <c r="M136" i="1"/>
  <c r="CB136" i="1"/>
  <c r="T128" i="1"/>
  <c r="T136" i="1"/>
  <c r="CB72" i="1"/>
  <c r="CB39" i="1"/>
  <c r="CB43" i="1" s="1"/>
  <c r="CB130" i="1" s="1"/>
  <c r="BC72" i="1"/>
  <c r="CN136" i="1"/>
  <c r="CN54" i="1"/>
  <c r="CF136" i="1"/>
  <c r="Z128" i="1"/>
  <c r="AB44" i="1"/>
  <c r="L128" i="1"/>
  <c r="L54" i="1"/>
  <c r="U44" i="1"/>
  <c r="W128" i="1"/>
  <c r="AB136" i="1"/>
  <c r="M128" i="1"/>
  <c r="U39" i="1"/>
  <c r="U43" i="1" s="1"/>
  <c r="U138" i="1" s="1"/>
  <c r="U128" i="1"/>
  <c r="U136" i="1"/>
  <c r="W44" i="1"/>
  <c r="AB54" i="1"/>
  <c r="AR44" i="1"/>
  <c r="L39" i="1"/>
  <c r="L43" i="1" s="1"/>
  <c r="L138" i="1" s="1"/>
  <c r="BJ136" i="1"/>
  <c r="L44" i="1"/>
  <c r="AB128" i="1"/>
  <c r="M44" i="1"/>
  <c r="AQ44" i="1"/>
  <c r="AQ72" i="1"/>
  <c r="AQ136" i="1"/>
  <c r="BK54" i="1"/>
  <c r="AQ39" i="1"/>
  <c r="AQ43" i="1" s="1"/>
  <c r="AQ130" i="1" s="1"/>
  <c r="AA128" i="1"/>
  <c r="AN136" i="1"/>
  <c r="P44" i="1"/>
  <c r="BS44" i="1"/>
  <c r="AH136" i="1"/>
  <c r="P54" i="1"/>
  <c r="BM39" i="1"/>
  <c r="BM43" i="1" s="1"/>
  <c r="BM49" i="1" s="1"/>
  <c r="P136" i="1"/>
  <c r="BS52" i="1"/>
  <c r="P39" i="1"/>
  <c r="P43" i="1" s="1"/>
  <c r="P138" i="1" s="1"/>
  <c r="AH54" i="1"/>
  <c r="AC136" i="1"/>
  <c r="AH138" i="1"/>
  <c r="AJ72" i="1"/>
  <c r="BN72" i="1"/>
  <c r="AK128" i="1"/>
  <c r="BK72" i="1"/>
  <c r="CG128" i="1"/>
  <c r="CM44" i="1"/>
  <c r="AY39" i="1"/>
  <c r="AY43" i="1" s="1"/>
  <c r="AY52" i="1" s="1"/>
  <c r="BK128" i="1"/>
  <c r="BX39" i="1"/>
  <c r="BX43" i="1" s="1"/>
  <c r="BX47" i="1" s="1"/>
  <c r="BX57" i="1" s="1"/>
  <c r="BW39" i="1"/>
  <c r="BW43" i="1" s="1"/>
  <c r="BW47" i="1" s="1"/>
  <c r="AK44" i="1"/>
  <c r="BX44" i="1"/>
  <c r="AM44" i="1"/>
  <c r="O128" i="1"/>
  <c r="CG44" i="1"/>
  <c r="AK72" i="1"/>
  <c r="BK39" i="1"/>
  <c r="BK43" i="1" s="1"/>
  <c r="BK138" i="1" s="1"/>
  <c r="CG39" i="1"/>
  <c r="CG43" i="1" s="1"/>
  <c r="CG130" i="1" s="1"/>
  <c r="AK39" i="1"/>
  <c r="AK43" i="1" s="1"/>
  <c r="AK74" i="1" s="1"/>
  <c r="BO54" i="1"/>
  <c r="AV54" i="1"/>
  <c r="S39" i="1"/>
  <c r="S43" i="1" s="1"/>
  <c r="S47" i="1" s="1"/>
  <c r="R44" i="1"/>
  <c r="AO54" i="1"/>
  <c r="AJ54" i="1"/>
  <c r="AV39" i="1"/>
  <c r="AV43" i="1" s="1"/>
  <c r="AV52" i="1" s="1"/>
  <c r="AT44" i="1"/>
  <c r="S136" i="1"/>
  <c r="X136" i="1"/>
  <c r="R128" i="1"/>
  <c r="CL47" i="1"/>
  <c r="CL53" i="1" s="1"/>
  <c r="AJ39" i="1"/>
  <c r="AJ43" i="1" s="1"/>
  <c r="AJ74" i="1" s="1"/>
  <c r="AV44" i="1"/>
  <c r="BF72" i="1"/>
  <c r="CK54" i="1"/>
  <c r="R136" i="1"/>
  <c r="CC44" i="1"/>
  <c r="Y39" i="1"/>
  <c r="Y43" i="1" s="1"/>
  <c r="Y138" i="1" s="1"/>
  <c r="AJ44" i="1"/>
  <c r="AV128" i="1"/>
  <c r="AJ136" i="1"/>
  <c r="H44" i="1"/>
  <c r="CF47" i="1"/>
  <c r="CF57" i="1" s="1"/>
  <c r="BO44" i="1"/>
  <c r="BS53" i="1"/>
  <c r="CL52" i="1"/>
  <c r="AS39" i="1"/>
  <c r="AS43" i="1" s="1"/>
  <c r="AS138" i="1" s="1"/>
  <c r="CA39" i="1"/>
  <c r="CA43" i="1" s="1"/>
  <c r="CA47" i="1" s="1"/>
  <c r="CM39" i="1"/>
  <c r="CM43" i="1" s="1"/>
  <c r="CM47" i="1" s="1"/>
  <c r="W136" i="1"/>
  <c r="CG72" i="1"/>
  <c r="CL138" i="1"/>
  <c r="Y128" i="1"/>
  <c r="BS54" i="1"/>
  <c r="AS72" i="1"/>
  <c r="CL49" i="1"/>
  <c r="Y136" i="1"/>
  <c r="AS128" i="1"/>
  <c r="CA72" i="1"/>
  <c r="CM128" i="1"/>
  <c r="CG136" i="1"/>
  <c r="CL74" i="1"/>
  <c r="N136" i="1"/>
  <c r="BS72" i="1"/>
  <c r="BX54" i="1"/>
  <c r="O136" i="1"/>
  <c r="Y54" i="1"/>
  <c r="AS44" i="1"/>
  <c r="AS136" i="1"/>
  <c r="CA128" i="1"/>
  <c r="CM72" i="1"/>
  <c r="AG39" i="1"/>
  <c r="AG43" i="1" s="1"/>
  <c r="AG47" i="1" s="1"/>
  <c r="BS128" i="1"/>
  <c r="BX136" i="1"/>
  <c r="O44" i="1"/>
  <c r="CA136" i="1"/>
  <c r="CM136" i="1"/>
  <c r="CK72" i="1"/>
  <c r="AG128" i="1"/>
  <c r="AP52" i="1"/>
  <c r="BS136" i="1"/>
  <c r="AW136" i="1"/>
  <c r="O39" i="1"/>
  <c r="O43" i="1" s="1"/>
  <c r="O52" i="1" s="1"/>
  <c r="W39" i="1"/>
  <c r="W43" i="1" s="1"/>
  <c r="W130" i="1" s="1"/>
  <c r="CK136" i="1"/>
  <c r="BX72" i="1"/>
  <c r="BW44" i="1"/>
  <c r="AY136" i="1"/>
  <c r="BL39" i="1"/>
  <c r="BL43" i="1" s="1"/>
  <c r="BL52" i="1" s="1"/>
  <c r="AX44" i="1"/>
  <c r="BM136" i="1"/>
  <c r="AX72" i="1"/>
  <c r="BW72" i="1"/>
  <c r="BM128" i="1"/>
  <c r="BA39" i="1"/>
  <c r="BA43" i="1" s="1"/>
  <c r="BA138" i="1" s="1"/>
  <c r="AX54" i="1"/>
  <c r="AX128" i="1"/>
  <c r="BW128" i="1"/>
  <c r="BA72" i="1"/>
  <c r="BW136" i="1"/>
  <c r="BL44" i="1"/>
  <c r="BL136" i="1"/>
  <c r="AE54" i="1"/>
  <c r="BA128" i="1"/>
  <c r="N39" i="1"/>
  <c r="N43" i="1" s="1"/>
  <c r="N52" i="1" s="1"/>
  <c r="BM44" i="1"/>
  <c r="AE39" i="1"/>
  <c r="AE43" i="1" s="1"/>
  <c r="AE130" i="1" s="1"/>
  <c r="N44" i="1"/>
  <c r="BL54" i="1"/>
  <c r="BM72" i="1"/>
  <c r="AY44" i="1"/>
  <c r="N128" i="1"/>
  <c r="BL128" i="1"/>
  <c r="CF49" i="1"/>
  <c r="BA136" i="1"/>
  <c r="BD44" i="1"/>
  <c r="BO39" i="1"/>
  <c r="BO43" i="1" s="1"/>
  <c r="BO130" i="1" s="1"/>
  <c r="CE136" i="1"/>
  <c r="AV72" i="1"/>
  <c r="CD39" i="1"/>
  <c r="CD43" i="1" s="1"/>
  <c r="CD130" i="1" s="1"/>
  <c r="CF54" i="1"/>
  <c r="CF74" i="1"/>
  <c r="AN44" i="1"/>
  <c r="AE44" i="1"/>
  <c r="BO72" i="1"/>
  <c r="CC128" i="1"/>
  <c r="AH47" i="1"/>
  <c r="AH53" i="1" s="1"/>
  <c r="AH128" i="1"/>
  <c r="CD44" i="1"/>
  <c r="CF44" i="1"/>
  <c r="CF138" i="1"/>
  <c r="X128" i="1"/>
  <c r="AN72" i="1"/>
  <c r="AE128" i="1"/>
  <c r="BO128" i="1"/>
  <c r="AH52" i="1"/>
  <c r="CD128" i="1"/>
  <c r="AH44" i="1"/>
  <c r="X44" i="1"/>
  <c r="AN39" i="1"/>
  <c r="AN43" i="1" s="1"/>
  <c r="AN138" i="1" s="1"/>
  <c r="AI44" i="1"/>
  <c r="V39" i="1"/>
  <c r="V43" i="1" s="1"/>
  <c r="V138" i="1" s="1"/>
  <c r="AH49" i="1"/>
  <c r="CF128" i="1"/>
  <c r="X39" i="1"/>
  <c r="X43" i="1" s="1"/>
  <c r="X47" i="1" s="1"/>
  <c r="BA44" i="1"/>
  <c r="AN128" i="1"/>
  <c r="AI72" i="1"/>
  <c r="V54" i="1"/>
  <c r="CF72" i="1"/>
  <c r="BF54" i="1"/>
  <c r="BE72" i="1"/>
  <c r="BU39" i="1"/>
  <c r="BU43" i="1" s="1"/>
  <c r="BU52" i="1" s="1"/>
  <c r="AP74" i="1"/>
  <c r="AU39" i="1"/>
  <c r="AU43" i="1" s="1"/>
  <c r="AU47" i="1" s="1"/>
  <c r="V44" i="1"/>
  <c r="BP54" i="1"/>
  <c r="BU136" i="1"/>
  <c r="BJ39" i="1"/>
  <c r="BJ43" i="1" s="1"/>
  <c r="BJ130" i="1" s="1"/>
  <c r="F44" i="1"/>
  <c r="AU128" i="1"/>
  <c r="V128" i="1"/>
  <c r="AP130" i="1"/>
  <c r="AU72" i="1"/>
  <c r="BI44" i="1"/>
  <c r="BJ44" i="1"/>
  <c r="F39" i="1"/>
  <c r="F43" i="1" s="1"/>
  <c r="F130" i="1" s="1"/>
  <c r="AU136" i="1"/>
  <c r="AU44" i="1"/>
  <c r="BD128" i="1"/>
  <c r="BI39" i="1"/>
  <c r="BI43" i="1" s="1"/>
  <c r="BI130" i="1" s="1"/>
  <c r="BJ72" i="1"/>
  <c r="F128" i="1"/>
  <c r="AF39" i="1"/>
  <c r="AF43" i="1" s="1"/>
  <c r="AF52" i="1" s="1"/>
  <c r="BE136" i="1"/>
  <c r="BU44" i="1"/>
  <c r="BG52" i="1"/>
  <c r="BI136" i="1"/>
  <c r="BJ128" i="1"/>
  <c r="F136" i="1"/>
  <c r="AF44" i="1"/>
  <c r="AA54" i="1"/>
  <c r="AR39" i="1"/>
  <c r="AR43" i="1" s="1"/>
  <c r="AR49" i="1" s="1"/>
  <c r="AA136" i="1"/>
  <c r="CI39" i="1"/>
  <c r="CI43" i="1" s="1"/>
  <c r="CI130" i="1" s="1"/>
  <c r="C128" i="1"/>
  <c r="BQ44" i="1"/>
  <c r="AR72" i="1"/>
  <c r="BN44" i="1"/>
  <c r="BQ72" i="1"/>
  <c r="AR128" i="1"/>
  <c r="AO39" i="1"/>
  <c r="AO43" i="1" s="1"/>
  <c r="AO138" i="1" s="1"/>
  <c r="BN54" i="1"/>
  <c r="CI72" i="1"/>
  <c r="BQ39" i="1"/>
  <c r="BQ43" i="1" s="1"/>
  <c r="BQ138" i="1" s="1"/>
  <c r="AR136" i="1"/>
  <c r="AO44" i="1"/>
  <c r="CI128" i="1"/>
  <c r="BQ54" i="1"/>
  <c r="AO72" i="1"/>
  <c r="AA39" i="1"/>
  <c r="AA43" i="1" s="1"/>
  <c r="AA138" i="1" s="1"/>
  <c r="CI136" i="1"/>
  <c r="BQ128" i="1"/>
  <c r="AO128" i="1"/>
  <c r="BN39" i="1"/>
  <c r="BN43" i="1" s="1"/>
  <c r="BN136" i="1"/>
  <c r="CI44" i="1"/>
  <c r="CE44" i="1"/>
  <c r="CE39" i="1"/>
  <c r="CE43" i="1" s="1"/>
  <c r="CE47" i="1" s="1"/>
  <c r="AL44" i="1"/>
  <c r="AL128" i="1"/>
  <c r="CH136" i="1"/>
  <c r="AT136" i="1"/>
  <c r="AI39" i="1"/>
  <c r="AI43" i="1" s="1"/>
  <c r="AI49" i="1" s="1"/>
  <c r="BI72" i="1"/>
  <c r="C54" i="1"/>
  <c r="I44" i="1"/>
  <c r="AG136" i="1"/>
  <c r="CC136" i="1"/>
  <c r="G136" i="1"/>
  <c r="BP128" i="1"/>
  <c r="BP39" i="1"/>
  <c r="BP43" i="1" s="1"/>
  <c r="BE39" i="1"/>
  <c r="BE43" i="1" s="1"/>
  <c r="BE52" i="1" s="1"/>
  <c r="AI128" i="1"/>
  <c r="BI128" i="1"/>
  <c r="BU72" i="1"/>
  <c r="CK39" i="1"/>
  <c r="CK43" i="1" s="1"/>
  <c r="CK130" i="1" s="1"/>
  <c r="AY72" i="1"/>
  <c r="AF54" i="1"/>
  <c r="AD128" i="1"/>
  <c r="AF128" i="1"/>
  <c r="BP72" i="1"/>
  <c r="BE44" i="1"/>
  <c r="AI136" i="1"/>
  <c r="BU128" i="1"/>
  <c r="E39" i="1"/>
  <c r="E43" i="1" s="1"/>
  <c r="E46" i="1" s="1"/>
  <c r="E49" i="1" s="1"/>
  <c r="CK44" i="1"/>
  <c r="CC39" i="1"/>
  <c r="CC43" i="1" s="1"/>
  <c r="CC74" i="1" s="1"/>
  <c r="AY128" i="1"/>
  <c r="AD136" i="1"/>
  <c r="BF39" i="1"/>
  <c r="BF43" i="1" s="1"/>
  <c r="BF136" i="1"/>
  <c r="BF44" i="1"/>
  <c r="G39" i="1"/>
  <c r="G43" i="1" s="1"/>
  <c r="G130" i="1" s="1"/>
  <c r="BE128" i="1"/>
  <c r="AZ128" i="1"/>
  <c r="AG44" i="1"/>
  <c r="CC72" i="1"/>
  <c r="K136" i="1"/>
  <c r="G44" i="1"/>
  <c r="BP44" i="1"/>
  <c r="G128" i="1"/>
  <c r="BG74" i="1"/>
  <c r="BD72" i="1"/>
  <c r="J54" i="1"/>
  <c r="AL39" i="1"/>
  <c r="AL43" i="1" s="1"/>
  <c r="AL49" i="1" s="1"/>
  <c r="AL72" i="1"/>
  <c r="BG49" i="1"/>
  <c r="BD39" i="1"/>
  <c r="BD43" i="1" s="1"/>
  <c r="BD130" i="1" s="1"/>
  <c r="I39" i="1"/>
  <c r="I43" i="1" s="1"/>
  <c r="I46" i="1" s="1"/>
  <c r="I49" i="1" s="1"/>
  <c r="AM39" i="1"/>
  <c r="AM43" i="1" s="1"/>
  <c r="AM49" i="1" s="1"/>
  <c r="AL136" i="1"/>
  <c r="BG47" i="1"/>
  <c r="BG57" i="1" s="1"/>
  <c r="BD136" i="1"/>
  <c r="AZ39" i="1"/>
  <c r="AZ43" i="1" s="1"/>
  <c r="AZ47" i="1" s="1"/>
  <c r="I128" i="1"/>
  <c r="AM72" i="1"/>
  <c r="J128" i="1"/>
  <c r="BH136" i="1"/>
  <c r="BH44" i="1"/>
  <c r="BH39" i="1"/>
  <c r="BH43" i="1" s="1"/>
  <c r="BH54" i="1"/>
  <c r="BH128" i="1"/>
  <c r="BH72" i="1"/>
  <c r="CH44" i="1"/>
  <c r="CH39" i="1"/>
  <c r="CH43" i="1" s="1"/>
  <c r="CH52" i="1" s="1"/>
  <c r="BG130" i="1"/>
  <c r="AZ44" i="1"/>
  <c r="I136" i="1"/>
  <c r="AM128" i="1"/>
  <c r="BR44" i="1"/>
  <c r="BV44" i="1"/>
  <c r="BV136" i="1"/>
  <c r="BV128" i="1"/>
  <c r="BV72" i="1"/>
  <c r="BV54" i="1"/>
  <c r="BV39" i="1"/>
  <c r="BV43" i="1" s="1"/>
  <c r="J44" i="1"/>
  <c r="AZ136" i="1"/>
  <c r="AM136" i="1"/>
  <c r="BR72" i="1"/>
  <c r="CJ72" i="1"/>
  <c r="CJ44" i="1"/>
  <c r="CJ54" i="1"/>
  <c r="CJ136" i="1"/>
  <c r="CJ128" i="1"/>
  <c r="CJ39" i="1"/>
  <c r="CJ43" i="1" s="1"/>
  <c r="CH72" i="1"/>
  <c r="CH128" i="1"/>
  <c r="AZ72" i="1"/>
  <c r="J39" i="1"/>
  <c r="J43" i="1" s="1"/>
  <c r="S44" i="1"/>
  <c r="AT72" i="1"/>
  <c r="C44" i="1"/>
  <c r="AC128" i="1"/>
  <c r="BR39" i="1"/>
  <c r="BR43" i="1" s="1"/>
  <c r="BR47" i="1" s="1"/>
  <c r="S128" i="1"/>
  <c r="AT128" i="1"/>
  <c r="C39" i="1"/>
  <c r="C43" i="1" s="1"/>
  <c r="C138" i="1" s="1"/>
  <c r="E44" i="1"/>
  <c r="BR54" i="1"/>
  <c r="CD136" i="1"/>
  <c r="CD54" i="1"/>
  <c r="E128" i="1"/>
  <c r="Q39" i="1"/>
  <c r="Q43" i="1" s="1"/>
  <c r="Q130" i="1" s="1"/>
  <c r="BR128" i="1"/>
  <c r="E136" i="1"/>
  <c r="Q44" i="1"/>
  <c r="AT39" i="1"/>
  <c r="AT43" i="1" s="1"/>
  <c r="AT138" i="1" s="1"/>
  <c r="AC44" i="1"/>
  <c r="Q128" i="1"/>
  <c r="AC39" i="1"/>
  <c r="AC43" i="1" s="1"/>
  <c r="AC138" i="1" s="1"/>
  <c r="Q136" i="1"/>
  <c r="BT44" i="1"/>
  <c r="BT39" i="1"/>
  <c r="BT128" i="1"/>
  <c r="BT52" i="1"/>
  <c r="BT136" i="1"/>
  <c r="BT53" i="1"/>
  <c r="BT72" i="1"/>
  <c r="BT54" i="1"/>
  <c r="CE72" i="1"/>
  <c r="CE128" i="1"/>
  <c r="AW44" i="1"/>
  <c r="AW39" i="1"/>
  <c r="AW43" i="1" s="1"/>
  <c r="AW47" i="1" s="1"/>
  <c r="AW72" i="1"/>
  <c r="AW128" i="1"/>
  <c r="K39" i="1"/>
  <c r="K43" i="1" s="1"/>
  <c r="K52" i="1" s="1"/>
  <c r="K44" i="1"/>
  <c r="K128" i="1"/>
  <c r="BZ39" i="1"/>
  <c r="BZ43" i="1" s="1"/>
  <c r="BZ130" i="1" s="1"/>
  <c r="BZ44" i="1"/>
  <c r="BZ72" i="1"/>
  <c r="BZ128" i="1"/>
  <c r="BZ136" i="1"/>
  <c r="CN49" i="1"/>
  <c r="CN47" i="1"/>
  <c r="CQ143" i="1" s="1"/>
  <c r="CN52" i="1"/>
  <c r="CN138" i="1"/>
  <c r="CN74" i="1"/>
  <c r="CN130" i="1"/>
  <c r="T138" i="1"/>
  <c r="T130" i="1"/>
  <c r="T52" i="1"/>
  <c r="T49" i="1"/>
  <c r="T47" i="1"/>
  <c r="D138" i="1"/>
  <c r="D130" i="1"/>
  <c r="D52" i="1"/>
  <c r="D46" i="1"/>
  <c r="D49" i="1" s="1"/>
  <c r="AD138" i="1"/>
  <c r="AD130" i="1"/>
  <c r="AD47" i="1"/>
  <c r="AD49" i="1"/>
  <c r="AD52" i="1"/>
  <c r="AB138" i="1"/>
  <c r="AB130" i="1"/>
  <c r="AB52" i="1"/>
  <c r="AB47" i="1"/>
  <c r="AB49" i="1"/>
  <c r="AP57" i="1"/>
  <c r="AP55" i="1"/>
  <c r="AP56" i="1"/>
  <c r="AP53" i="1"/>
  <c r="R138" i="1"/>
  <c r="AP138" i="1" l="1"/>
  <c r="AP49" i="1"/>
  <c r="BB52" i="1"/>
  <c r="BB74" i="1"/>
  <c r="M130" i="1"/>
  <c r="BC49" i="1"/>
  <c r="BC74" i="1"/>
  <c r="Z130" i="1"/>
  <c r="BC52" i="1"/>
  <c r="R52" i="1"/>
  <c r="U47" i="1"/>
  <c r="P46" i="1"/>
  <c r="P49" i="1" s="1"/>
  <c r="BC130" i="1"/>
  <c r="BB130" i="1"/>
  <c r="BB138" i="1"/>
  <c r="AX52" i="1"/>
  <c r="R46" i="1"/>
  <c r="R49" i="1" s="1"/>
  <c r="U52" i="1"/>
  <c r="BC138" i="1"/>
  <c r="M46" i="1"/>
  <c r="M49" i="1" s="1"/>
  <c r="M52" i="1"/>
  <c r="CB47" i="1"/>
  <c r="CB55" i="1" s="1"/>
  <c r="P52" i="1"/>
  <c r="AV47" i="1"/>
  <c r="AV55" i="1" s="1"/>
  <c r="P130" i="1"/>
  <c r="AX47" i="1"/>
  <c r="AX53" i="1" s="1"/>
  <c r="AX74" i="1"/>
  <c r="AX138" i="1"/>
  <c r="AX49" i="1"/>
  <c r="Z138" i="1"/>
  <c r="AH57" i="1"/>
  <c r="U49" i="1"/>
  <c r="Z47" i="1"/>
  <c r="Z55" i="1" s="1"/>
  <c r="Z52" i="1"/>
  <c r="U130" i="1"/>
  <c r="BA49" i="1"/>
  <c r="S138" i="1"/>
  <c r="AJ138" i="1"/>
  <c r="CA74" i="1"/>
  <c r="BI138" i="1"/>
  <c r="CE138" i="1"/>
  <c r="BO52" i="1"/>
  <c r="BY47" i="1"/>
  <c r="BY56" i="1" s="1"/>
  <c r="AM47" i="1"/>
  <c r="AM55" i="1" s="1"/>
  <c r="BY138" i="1"/>
  <c r="CI47" i="1"/>
  <c r="CI55" i="1" s="1"/>
  <c r="CB138" i="1"/>
  <c r="BR49" i="1"/>
  <c r="CI74" i="1"/>
  <c r="H138" i="1"/>
  <c r="H46" i="1"/>
  <c r="H49" i="1" s="1"/>
  <c r="BY49" i="1"/>
  <c r="H130" i="1"/>
  <c r="BY52" i="1"/>
  <c r="AN52" i="1"/>
  <c r="BY74" i="1"/>
  <c r="CF56" i="1"/>
  <c r="CF53" i="1"/>
  <c r="CB52" i="1"/>
  <c r="W138" i="1"/>
  <c r="O138" i="1"/>
  <c r="CL55" i="1"/>
  <c r="CF55" i="1"/>
  <c r="V47" i="1"/>
  <c r="V56" i="1" s="1"/>
  <c r="S130" i="1"/>
  <c r="L46" i="1"/>
  <c r="L49" i="1" s="1"/>
  <c r="AS47" i="1"/>
  <c r="AS55" i="1" s="1"/>
  <c r="L52" i="1"/>
  <c r="AS49" i="1"/>
  <c r="CB49" i="1"/>
  <c r="AE49" i="1"/>
  <c r="AE138" i="1"/>
  <c r="BM52" i="1"/>
  <c r="BM74" i="1"/>
  <c r="CM138" i="1"/>
  <c r="BM138" i="1"/>
  <c r="CM130" i="1"/>
  <c r="L130" i="1"/>
  <c r="BW138" i="1"/>
  <c r="AS74" i="1"/>
  <c r="BW130" i="1"/>
  <c r="AU49" i="1"/>
  <c r="AY74" i="1"/>
  <c r="S52" i="1"/>
  <c r="CB74" i="1"/>
  <c r="CG47" i="1"/>
  <c r="CG53" i="1" s="1"/>
  <c r="CC130" i="1"/>
  <c r="BB47" i="1"/>
  <c r="BB53" i="1" s="1"/>
  <c r="S49" i="1"/>
  <c r="CG138" i="1"/>
  <c r="CC138" i="1"/>
  <c r="C130" i="1"/>
  <c r="AM52" i="1"/>
  <c r="AM130" i="1"/>
  <c r="AA49" i="1"/>
  <c r="CE74" i="1"/>
  <c r="AA130" i="1"/>
  <c r="CE130" i="1"/>
  <c r="O130" i="1"/>
  <c r="CI52" i="1"/>
  <c r="AQ49" i="1"/>
  <c r="AQ74" i="1"/>
  <c r="AQ52" i="1"/>
  <c r="AQ47" i="1"/>
  <c r="AQ57" i="1" s="1"/>
  <c r="AK130" i="1"/>
  <c r="AQ138" i="1"/>
  <c r="BU74" i="1"/>
  <c r="X52" i="1"/>
  <c r="AY47" i="1"/>
  <c r="Y49" i="1"/>
  <c r="AY138" i="1"/>
  <c r="Y47" i="1"/>
  <c r="Y55" i="1" s="1"/>
  <c r="AY130" i="1"/>
  <c r="Y130" i="1"/>
  <c r="Y52" i="1"/>
  <c r="CL56" i="1"/>
  <c r="CL57" i="1"/>
  <c r="AY49" i="1"/>
  <c r="AO47" i="1"/>
  <c r="AO55" i="1" s="1"/>
  <c r="AV74" i="1"/>
  <c r="X130" i="1"/>
  <c r="BM130" i="1"/>
  <c r="BU138" i="1"/>
  <c r="AS52" i="1"/>
  <c r="AK138" i="1"/>
  <c r="BU130" i="1"/>
  <c r="AO49" i="1"/>
  <c r="AK47" i="1"/>
  <c r="AK56" i="1" s="1"/>
  <c r="AO52" i="1"/>
  <c r="CG49" i="1"/>
  <c r="N130" i="1"/>
  <c r="BW49" i="1"/>
  <c r="AS130" i="1"/>
  <c r="X138" i="1"/>
  <c r="CD52" i="1"/>
  <c r="AO74" i="1"/>
  <c r="CG52" i="1"/>
  <c r="BW52" i="1"/>
  <c r="BU49" i="1"/>
  <c r="X49" i="1"/>
  <c r="AK49" i="1"/>
  <c r="AK52" i="1"/>
  <c r="AO130" i="1"/>
  <c r="CG74" i="1"/>
  <c r="BW74" i="1"/>
  <c r="BM47" i="1"/>
  <c r="BM57" i="1" s="1"/>
  <c r="BU47" i="1"/>
  <c r="BU55" i="1" s="1"/>
  <c r="AJ130" i="1"/>
  <c r="V52" i="1"/>
  <c r="CA49" i="1"/>
  <c r="BA47" i="1"/>
  <c r="BA56" i="1" s="1"/>
  <c r="BX138" i="1"/>
  <c r="CO143" i="1"/>
  <c r="BK47" i="1"/>
  <c r="BK56" i="1" s="1"/>
  <c r="CA52" i="1"/>
  <c r="BA52" i="1"/>
  <c r="BX53" i="1"/>
  <c r="CA138" i="1"/>
  <c r="BA74" i="1"/>
  <c r="BX52" i="1"/>
  <c r="BX56" i="1"/>
  <c r="BK74" i="1"/>
  <c r="CA130" i="1"/>
  <c r="BA130" i="1"/>
  <c r="BX74" i="1"/>
  <c r="AJ47" i="1"/>
  <c r="AJ55" i="1" s="1"/>
  <c r="BX55" i="1"/>
  <c r="BK52" i="1"/>
  <c r="BK49" i="1"/>
  <c r="AJ49" i="1"/>
  <c r="AJ52" i="1"/>
  <c r="BK130" i="1"/>
  <c r="BX49" i="1"/>
  <c r="BX130" i="1"/>
  <c r="AV49" i="1"/>
  <c r="AR47" i="1"/>
  <c r="AR53" i="1" s="1"/>
  <c r="AV130" i="1"/>
  <c r="AR130" i="1"/>
  <c r="AV138" i="1"/>
  <c r="Q138" i="1"/>
  <c r="CH138" i="1"/>
  <c r="F138" i="1"/>
  <c r="AG49" i="1"/>
  <c r="CD138" i="1"/>
  <c r="BE47" i="1"/>
  <c r="BE55" i="1" s="1"/>
  <c r="AG52" i="1"/>
  <c r="BE74" i="1"/>
  <c r="N46" i="1"/>
  <c r="N49" i="1" s="1"/>
  <c r="CM74" i="1"/>
  <c r="AG138" i="1"/>
  <c r="BL74" i="1"/>
  <c r="AU74" i="1"/>
  <c r="AR52" i="1"/>
  <c r="CD74" i="1"/>
  <c r="BL47" i="1"/>
  <c r="BE130" i="1"/>
  <c r="AH55" i="1"/>
  <c r="CI49" i="1"/>
  <c r="N138" i="1"/>
  <c r="AU52" i="1"/>
  <c r="AR74" i="1"/>
  <c r="AG130" i="1"/>
  <c r="CD49" i="1"/>
  <c r="BL138" i="1"/>
  <c r="AU130" i="1"/>
  <c r="BE138" i="1"/>
  <c r="AU138" i="1"/>
  <c r="AR138" i="1"/>
  <c r="CE52" i="1"/>
  <c r="AE47" i="1"/>
  <c r="AE56" i="1" s="1"/>
  <c r="CI138" i="1"/>
  <c r="AA52" i="1"/>
  <c r="AC49" i="1"/>
  <c r="W47" i="1"/>
  <c r="F46" i="1"/>
  <c r="F49" i="1" s="1"/>
  <c r="CM49" i="1"/>
  <c r="BL49" i="1"/>
  <c r="AF47" i="1"/>
  <c r="CE49" i="1"/>
  <c r="AE52" i="1"/>
  <c r="AA47" i="1"/>
  <c r="AC52" i="1"/>
  <c r="W52" i="1"/>
  <c r="I52" i="1"/>
  <c r="F52" i="1"/>
  <c r="CM52" i="1"/>
  <c r="O46" i="1"/>
  <c r="O49" i="1" s="1"/>
  <c r="AC47" i="1"/>
  <c r="AC57" i="1" s="1"/>
  <c r="W49" i="1"/>
  <c r="CD47" i="1"/>
  <c r="CD57" i="1" s="1"/>
  <c r="AI130" i="1"/>
  <c r="E130" i="1"/>
  <c r="Q46" i="1"/>
  <c r="Q49" i="1" s="1"/>
  <c r="BL130" i="1"/>
  <c r="AN47" i="1"/>
  <c r="BO49" i="1"/>
  <c r="BI47" i="1"/>
  <c r="BI56" i="1" s="1"/>
  <c r="AN49" i="1"/>
  <c r="AZ49" i="1"/>
  <c r="BO74" i="1"/>
  <c r="CK49" i="1"/>
  <c r="BI49" i="1"/>
  <c r="AN74" i="1"/>
  <c r="BO47" i="1"/>
  <c r="BO53" i="1" s="1"/>
  <c r="CK47" i="1"/>
  <c r="CK57" i="1" s="1"/>
  <c r="BI52" i="1"/>
  <c r="AN130" i="1"/>
  <c r="BO138" i="1"/>
  <c r="CK52" i="1"/>
  <c r="BI74" i="1"/>
  <c r="AL74" i="1"/>
  <c r="CK138" i="1"/>
  <c r="BQ47" i="1"/>
  <c r="BQ55" i="1" s="1"/>
  <c r="G138" i="1"/>
  <c r="BD138" i="1"/>
  <c r="AI47" i="1"/>
  <c r="E52" i="1"/>
  <c r="BJ138" i="1"/>
  <c r="AI138" i="1"/>
  <c r="AF49" i="1"/>
  <c r="BR138" i="1"/>
  <c r="V49" i="1"/>
  <c r="BD47" i="1"/>
  <c r="BD55" i="1" s="1"/>
  <c r="BJ74" i="1"/>
  <c r="V130" i="1"/>
  <c r="BD52" i="1"/>
  <c r="BJ49" i="1"/>
  <c r="E138" i="1"/>
  <c r="AF138" i="1"/>
  <c r="G46" i="1"/>
  <c r="G49" i="1" s="1"/>
  <c r="BD49" i="1"/>
  <c r="AI52" i="1"/>
  <c r="BJ52" i="1"/>
  <c r="AF130" i="1"/>
  <c r="AH56" i="1"/>
  <c r="G52" i="1"/>
  <c r="BD74" i="1"/>
  <c r="AI74" i="1"/>
  <c r="BJ47" i="1"/>
  <c r="BJ57" i="1" s="1"/>
  <c r="AT47" i="1"/>
  <c r="AT57" i="1" s="1"/>
  <c r="AW74" i="1"/>
  <c r="AW52" i="1"/>
  <c r="AL52" i="1"/>
  <c r="BN47" i="1"/>
  <c r="BN138" i="1"/>
  <c r="BN52" i="1"/>
  <c r="BN130" i="1"/>
  <c r="BN49" i="1"/>
  <c r="AL130" i="1"/>
  <c r="BZ47" i="1"/>
  <c r="AW138" i="1"/>
  <c r="AL138" i="1"/>
  <c r="BQ49" i="1"/>
  <c r="BG55" i="1"/>
  <c r="BZ49" i="1"/>
  <c r="BQ52" i="1"/>
  <c r="BG56" i="1"/>
  <c r="BZ74" i="1"/>
  <c r="BQ74" i="1"/>
  <c r="AW130" i="1"/>
  <c r="BZ138" i="1"/>
  <c r="AW49" i="1"/>
  <c r="AL47" i="1"/>
  <c r="AL53" i="1" s="1"/>
  <c r="BQ130" i="1"/>
  <c r="BZ52" i="1"/>
  <c r="BN74" i="1"/>
  <c r="AC130" i="1"/>
  <c r="BE49" i="1"/>
  <c r="BG53" i="1"/>
  <c r="CC49" i="1"/>
  <c r="AZ130" i="1"/>
  <c r="CK74" i="1"/>
  <c r="BP138" i="1"/>
  <c r="BP74" i="1"/>
  <c r="BP52" i="1"/>
  <c r="BP47" i="1"/>
  <c r="BP49" i="1"/>
  <c r="BP130" i="1"/>
  <c r="AM138" i="1"/>
  <c r="CC47" i="1"/>
  <c r="CC52" i="1"/>
  <c r="AM74" i="1"/>
  <c r="CP143" i="1"/>
  <c r="K46" i="1"/>
  <c r="K49" i="1" s="1"/>
  <c r="CH47" i="1"/>
  <c r="CH53" i="1" s="1"/>
  <c r="BF47" i="1"/>
  <c r="BF52" i="1"/>
  <c r="BF130" i="1"/>
  <c r="BF74" i="1"/>
  <c r="BF138" i="1"/>
  <c r="BF49" i="1"/>
  <c r="AZ52" i="1"/>
  <c r="K138" i="1"/>
  <c r="I130" i="1"/>
  <c r="Q52" i="1"/>
  <c r="CH49" i="1"/>
  <c r="AZ74" i="1"/>
  <c r="K130" i="1"/>
  <c r="I138" i="1"/>
  <c r="CH74" i="1"/>
  <c r="AZ138" i="1"/>
  <c r="CH130" i="1"/>
  <c r="BV130" i="1"/>
  <c r="BV74" i="1"/>
  <c r="BV49" i="1"/>
  <c r="BV47" i="1"/>
  <c r="BV52" i="1"/>
  <c r="BV138" i="1"/>
  <c r="BH47" i="1"/>
  <c r="BH138" i="1"/>
  <c r="BH130" i="1"/>
  <c r="BH74" i="1"/>
  <c r="BH49" i="1"/>
  <c r="BH52" i="1"/>
  <c r="CJ49" i="1"/>
  <c r="CJ52" i="1"/>
  <c r="CJ47" i="1"/>
  <c r="CJ130" i="1"/>
  <c r="CJ138" i="1"/>
  <c r="CJ74" i="1"/>
  <c r="J138" i="1"/>
  <c r="J130" i="1"/>
  <c r="J46" i="1"/>
  <c r="J52" i="1"/>
  <c r="BR52" i="1"/>
  <c r="BR74" i="1"/>
  <c r="AT52" i="1"/>
  <c r="BR130" i="1"/>
  <c r="AT49" i="1"/>
  <c r="C52" i="1"/>
  <c r="AT74" i="1"/>
  <c r="C46" i="1"/>
  <c r="C49" i="1" s="1"/>
  <c r="AT130" i="1"/>
  <c r="D47" i="1"/>
  <c r="D55" i="1" s="1"/>
  <c r="CN57" i="1"/>
  <c r="CN56" i="1"/>
  <c r="CN55" i="1"/>
  <c r="CN53" i="1"/>
  <c r="I47" i="1"/>
  <c r="I57" i="1" s="1"/>
  <c r="E47" i="1"/>
  <c r="AU56" i="1"/>
  <c r="AU55" i="1"/>
  <c r="AU57" i="1"/>
  <c r="AU53" i="1"/>
  <c r="U57" i="1"/>
  <c r="U55" i="1"/>
  <c r="U53" i="1"/>
  <c r="U56" i="1"/>
  <c r="AG57" i="1"/>
  <c r="AG55" i="1"/>
  <c r="AG56" i="1"/>
  <c r="AG53" i="1"/>
  <c r="AW57" i="1"/>
  <c r="AW55" i="1"/>
  <c r="AW56" i="1"/>
  <c r="AW53" i="1"/>
  <c r="CE56" i="1"/>
  <c r="CE57" i="1"/>
  <c r="CE55" i="1"/>
  <c r="CE53" i="1"/>
  <c r="BR53" i="1"/>
  <c r="BR56" i="1"/>
  <c r="BR55" i="1"/>
  <c r="BR57" i="1"/>
  <c r="BC56" i="1"/>
  <c r="BC55" i="1"/>
  <c r="BC57" i="1"/>
  <c r="BC53" i="1"/>
  <c r="T57" i="1"/>
  <c r="T55" i="1"/>
  <c r="T56" i="1"/>
  <c r="T53" i="1"/>
  <c r="AD57" i="1"/>
  <c r="AD56" i="1"/>
  <c r="AD53" i="1"/>
  <c r="AD55" i="1"/>
  <c r="BW56" i="1"/>
  <c r="BW57" i="1"/>
  <c r="BW53" i="1"/>
  <c r="BW55" i="1"/>
  <c r="AZ57" i="1"/>
  <c r="AZ55" i="1"/>
  <c r="AZ53" i="1"/>
  <c r="AZ56" i="1"/>
  <c r="S56" i="1"/>
  <c r="S55" i="1"/>
  <c r="S53" i="1"/>
  <c r="S57" i="1"/>
  <c r="CA56" i="1"/>
  <c r="CA55" i="1"/>
  <c r="CA53" i="1"/>
  <c r="CA57" i="1"/>
  <c r="X56" i="1"/>
  <c r="X57" i="1"/>
  <c r="X53" i="1"/>
  <c r="X55" i="1"/>
  <c r="AV56" i="1"/>
  <c r="CM56" i="1"/>
  <c r="CM57" i="1"/>
  <c r="CM55" i="1"/>
  <c r="CM53" i="1"/>
  <c r="AB57" i="1"/>
  <c r="AB55" i="1"/>
  <c r="AB56" i="1"/>
  <c r="AB53" i="1"/>
  <c r="M47" i="1" l="1"/>
  <c r="CB53" i="1"/>
  <c r="Z53" i="1"/>
  <c r="P47" i="1"/>
  <c r="P57" i="1" s="1"/>
  <c r="CB57" i="1"/>
  <c r="Z56" i="1"/>
  <c r="Z57" i="1"/>
  <c r="V57" i="1"/>
  <c r="AV53" i="1"/>
  <c r="AX56" i="1"/>
  <c r="AV57" i="1"/>
  <c r="AX57" i="1"/>
  <c r="CB56" i="1"/>
  <c r="R47" i="1"/>
  <c r="R57" i="1" s="1"/>
  <c r="AX143" i="1"/>
  <c r="V55" i="1"/>
  <c r="AX55" i="1"/>
  <c r="AZ143" i="1"/>
  <c r="CI53" i="1"/>
  <c r="CI56" i="1"/>
  <c r="AM53" i="1"/>
  <c r="CI57" i="1"/>
  <c r="V143" i="1"/>
  <c r="H47" i="1"/>
  <c r="H56" i="1" s="1"/>
  <c r="BY53" i="1"/>
  <c r="V53" i="1"/>
  <c r="CA143" i="1"/>
  <c r="BY57" i="1"/>
  <c r="AM57" i="1"/>
  <c r="BY55" i="1"/>
  <c r="AM56" i="1"/>
  <c r="AS56" i="1"/>
  <c r="BA53" i="1"/>
  <c r="L47" i="1"/>
  <c r="L55" i="1" s="1"/>
  <c r="AS53" i="1"/>
  <c r="AJ143" i="1"/>
  <c r="AK55" i="1"/>
  <c r="BU143" i="1"/>
  <c r="AJ57" i="1"/>
  <c r="BJ55" i="1"/>
  <c r="BU57" i="1"/>
  <c r="BJ53" i="1"/>
  <c r="AR56" i="1"/>
  <c r="AR55" i="1"/>
  <c r="BJ56" i="1"/>
  <c r="AR57" i="1"/>
  <c r="Z143" i="1"/>
  <c r="CG55" i="1"/>
  <c r="AS57" i="1"/>
  <c r="AI55" i="1"/>
  <c r="AU143" i="1"/>
  <c r="AJ53" i="1"/>
  <c r="AJ56" i="1"/>
  <c r="CG143" i="1"/>
  <c r="Y57" i="1"/>
  <c r="AQ56" i="1"/>
  <c r="BB56" i="1"/>
  <c r="AO57" i="1"/>
  <c r="AS143" i="1"/>
  <c r="AI53" i="1"/>
  <c r="AK143" i="1"/>
  <c r="W53" i="1"/>
  <c r="AR143" i="1"/>
  <c r="AI57" i="1"/>
  <c r="AQ55" i="1"/>
  <c r="BM56" i="1"/>
  <c r="AO53" i="1"/>
  <c r="AI56" i="1"/>
  <c r="AQ53" i="1"/>
  <c r="BM55" i="1"/>
  <c r="AO56" i="1"/>
  <c r="BB55" i="1"/>
  <c r="BE57" i="1"/>
  <c r="AP143" i="1"/>
  <c r="AB143" i="1"/>
  <c r="BB57" i="1"/>
  <c r="BA57" i="1"/>
  <c r="CG57" i="1"/>
  <c r="AK53" i="1"/>
  <c r="BA55" i="1"/>
  <c r="X143" i="1"/>
  <c r="Y56" i="1"/>
  <c r="CG56" i="1"/>
  <c r="BC143" i="1"/>
  <c r="AK57" i="1"/>
  <c r="Y53" i="1"/>
  <c r="AY53" i="1"/>
  <c r="AF143" i="1"/>
  <c r="BX143" i="1"/>
  <c r="AI143" i="1"/>
  <c r="AN53" i="1"/>
  <c r="AY55" i="1"/>
  <c r="BO57" i="1"/>
  <c r="AY57" i="1"/>
  <c r="BA143" i="1"/>
  <c r="BU56" i="1"/>
  <c r="AY56" i="1"/>
  <c r="BU53" i="1"/>
  <c r="AY143" i="1"/>
  <c r="BB143" i="1"/>
  <c r="AF53" i="1"/>
  <c r="BK53" i="1"/>
  <c r="AE57" i="1"/>
  <c r="AE53" i="1"/>
  <c r="AF57" i="1"/>
  <c r="BR143" i="1"/>
  <c r="BM143" i="1"/>
  <c r="BM53" i="1"/>
  <c r="AE55" i="1"/>
  <c r="CK53" i="1"/>
  <c r="BO56" i="1"/>
  <c r="BO143" i="1"/>
  <c r="BK55" i="1"/>
  <c r="BE53" i="1"/>
  <c r="BK57" i="1"/>
  <c r="AG143" i="1"/>
  <c r="BE56" i="1"/>
  <c r="AE143" i="1"/>
  <c r="N47" i="1"/>
  <c r="N57" i="1" s="1"/>
  <c r="Q47" i="1"/>
  <c r="Q53" i="1" s="1"/>
  <c r="AF55" i="1"/>
  <c r="AN57" i="1"/>
  <c r="O47" i="1"/>
  <c r="O55" i="1" s="1"/>
  <c r="AN56" i="1"/>
  <c r="BL53" i="1"/>
  <c r="AQ143" i="1"/>
  <c r="BL56" i="1"/>
  <c r="AN55" i="1"/>
  <c r="BW143" i="1"/>
  <c r="BL143" i="1"/>
  <c r="CK56" i="1"/>
  <c r="BQ143" i="1"/>
  <c r="CK55" i="1"/>
  <c r="AH143" i="1"/>
  <c r="BS143" i="1"/>
  <c r="AA57" i="1"/>
  <c r="BQ53" i="1"/>
  <c r="BV143" i="1"/>
  <c r="AD143" i="1"/>
  <c r="BQ57" i="1"/>
  <c r="AA56" i="1"/>
  <c r="BN143" i="1"/>
  <c r="W57" i="1"/>
  <c r="CD56" i="1"/>
  <c r="D56" i="1"/>
  <c r="BE143" i="1"/>
  <c r="BZ56" i="1"/>
  <c r="BI55" i="1"/>
  <c r="W55" i="1"/>
  <c r="W143" i="1"/>
  <c r="BD53" i="1"/>
  <c r="AC55" i="1"/>
  <c r="CL143" i="1"/>
  <c r="CD55" i="1"/>
  <c r="BL57" i="1"/>
  <c r="BL55" i="1"/>
  <c r="W56" i="1"/>
  <c r="BZ55" i="1"/>
  <c r="BI53" i="1"/>
  <c r="BP143" i="1"/>
  <c r="BD143" i="1"/>
  <c r="BG143" i="1"/>
  <c r="D53" i="1"/>
  <c r="BI57" i="1"/>
  <c r="BD57" i="1"/>
  <c r="AC53" i="1"/>
  <c r="CN143" i="1"/>
  <c r="CD53" i="1"/>
  <c r="AA143" i="1"/>
  <c r="BZ53" i="1"/>
  <c r="AF56" i="1"/>
  <c r="AA55" i="1"/>
  <c r="BD56" i="1"/>
  <c r="BO55" i="1"/>
  <c r="AC56" i="1"/>
  <c r="G47" i="1"/>
  <c r="G53" i="1" s="1"/>
  <c r="F47" i="1"/>
  <c r="F53" i="1" s="1"/>
  <c r="CF143" i="1"/>
  <c r="BQ56" i="1"/>
  <c r="BZ143" i="1"/>
  <c r="AC143" i="1"/>
  <c r="Y143" i="1"/>
  <c r="CC56" i="1"/>
  <c r="BZ57" i="1"/>
  <c r="CB143" i="1"/>
  <c r="CC57" i="1"/>
  <c r="BT143" i="1"/>
  <c r="AA53" i="1"/>
  <c r="AV143" i="1"/>
  <c r="AW143" i="1"/>
  <c r="AT143" i="1"/>
  <c r="AM143" i="1"/>
  <c r="AN143" i="1"/>
  <c r="AT56" i="1"/>
  <c r="AT55" i="1"/>
  <c r="AT53" i="1"/>
  <c r="BI143" i="1"/>
  <c r="BF143" i="1"/>
  <c r="CJ143" i="1"/>
  <c r="AO143" i="1"/>
  <c r="AL57" i="1"/>
  <c r="BK143" i="1"/>
  <c r="BJ143" i="1"/>
  <c r="CM143" i="1"/>
  <c r="CK143" i="1"/>
  <c r="AL55" i="1"/>
  <c r="AL143" i="1"/>
  <c r="CI143" i="1"/>
  <c r="CH57" i="1"/>
  <c r="AL56" i="1"/>
  <c r="BH143" i="1"/>
  <c r="CH55" i="1"/>
  <c r="K47" i="1"/>
  <c r="K57" i="1" s="1"/>
  <c r="BN57" i="1"/>
  <c r="BN56" i="1"/>
  <c r="BN53" i="1"/>
  <c r="BN55" i="1"/>
  <c r="CH56" i="1"/>
  <c r="CH143" i="1"/>
  <c r="CE143" i="1"/>
  <c r="CC53" i="1"/>
  <c r="BF55" i="1"/>
  <c r="BF57" i="1"/>
  <c r="BF56" i="1"/>
  <c r="BF53" i="1"/>
  <c r="CC55" i="1"/>
  <c r="CD143" i="1"/>
  <c r="CC143" i="1"/>
  <c r="I53" i="1"/>
  <c r="BP56" i="1"/>
  <c r="BP53" i="1"/>
  <c r="BP57" i="1"/>
  <c r="BP55" i="1"/>
  <c r="BV57" i="1"/>
  <c r="BV55" i="1"/>
  <c r="BV56" i="1"/>
  <c r="BV53" i="1"/>
  <c r="BY143" i="1"/>
  <c r="I56" i="1"/>
  <c r="I55" i="1"/>
  <c r="J49" i="1"/>
  <c r="J47" i="1"/>
  <c r="CJ56" i="1"/>
  <c r="CJ57" i="1"/>
  <c r="CJ53" i="1"/>
  <c r="CJ55" i="1"/>
  <c r="BH57" i="1"/>
  <c r="BH55" i="1"/>
  <c r="BH53" i="1"/>
  <c r="BH56" i="1"/>
  <c r="P53" i="1"/>
  <c r="C47" i="1"/>
  <c r="P56" i="1"/>
  <c r="P55" i="1"/>
  <c r="E53" i="1"/>
  <c r="E56" i="1"/>
  <c r="E57" i="1"/>
  <c r="E55" i="1"/>
  <c r="M55" i="1"/>
  <c r="M57" i="1"/>
  <c r="M56" i="1"/>
  <c r="M53" i="1"/>
  <c r="R53" i="1" l="1"/>
  <c r="R56" i="1"/>
  <c r="U143" i="1"/>
  <c r="R55" i="1"/>
  <c r="H55" i="1"/>
  <c r="H53" i="1"/>
  <c r="H57" i="1"/>
  <c r="L57" i="1"/>
  <c r="L53" i="1"/>
  <c r="L56" i="1"/>
  <c r="N53" i="1"/>
  <c r="Q56" i="1"/>
  <c r="Q55" i="1"/>
  <c r="Q57" i="1"/>
  <c r="G57" i="1"/>
  <c r="N55" i="1"/>
  <c r="S143" i="1"/>
  <c r="T143" i="1"/>
  <c r="N56" i="1"/>
  <c r="O57" i="1"/>
  <c r="P143" i="1"/>
  <c r="O143" i="1"/>
  <c r="N143" i="1"/>
  <c r="R143" i="1"/>
  <c r="Q143" i="1"/>
  <c r="O56" i="1"/>
  <c r="O53" i="1"/>
  <c r="H143" i="1"/>
  <c r="F56" i="1"/>
  <c r="G55" i="1"/>
  <c r="F55" i="1"/>
  <c r="J143" i="1"/>
  <c r="G56" i="1"/>
  <c r="G143" i="1"/>
  <c r="M143" i="1"/>
  <c r="I143" i="1"/>
  <c r="F143" i="1"/>
  <c r="F57" i="1"/>
  <c r="K55" i="1"/>
  <c r="K53" i="1"/>
  <c r="K56" i="1"/>
  <c r="K143" i="1"/>
  <c r="J53" i="1"/>
  <c r="J56" i="1"/>
  <c r="J55" i="1"/>
  <c r="J57" i="1"/>
  <c r="L143" i="1"/>
  <c r="C53" i="1"/>
  <c r="C55" i="1"/>
  <c r="C56" i="1"/>
  <c r="V69" i="2"/>
  <c r="W69" i="2"/>
  <c r="W161" i="2" l="1"/>
  <c r="W164" i="2" l="1"/>
  <c r="W163" i="2"/>
  <c r="W162" i="2"/>
  <c r="W156" i="2"/>
  <c r="W157" i="2" l="1"/>
  <c r="U12" i="2"/>
  <c r="U24" i="2"/>
  <c r="W135" i="2" l="1"/>
  <c r="W159" i="2" l="1"/>
  <c r="W158" i="2" l="1"/>
  <c r="W148" i="2"/>
  <c r="W141" i="2"/>
  <c r="W134" i="2"/>
  <c r="W125" i="2"/>
  <c r="W118" i="2"/>
  <c r="W117" i="2"/>
  <c r="W116" i="2"/>
  <c r="W115" i="2"/>
  <c r="W114" i="2"/>
  <c r="W103" i="2"/>
  <c r="W102" i="2"/>
  <c r="W101" i="2"/>
  <c r="W100" i="2"/>
  <c r="W96" i="2"/>
  <c r="W95" i="2"/>
  <c r="W94" i="2"/>
  <c r="W91" i="2"/>
  <c r="W90" i="2"/>
  <c r="W89" i="2"/>
  <c r="W87" i="2"/>
  <c r="W86" i="2"/>
  <c r="W85" i="2"/>
  <c r="W84" i="2"/>
  <c r="W83" i="2"/>
  <c r="W80" i="2"/>
  <c r="V80" i="2"/>
  <c r="W79" i="2"/>
  <c r="W78" i="2"/>
  <c r="W77" i="2"/>
  <c r="W68" i="2"/>
  <c r="W60" i="2"/>
  <c r="W42" i="2"/>
  <c r="W41" i="2"/>
  <c r="W36" i="2"/>
  <c r="W35" i="2"/>
  <c r="W34" i="2"/>
  <c r="W33" i="2"/>
  <c r="W27" i="2"/>
  <c r="W26" i="2"/>
  <c r="W24" i="2"/>
  <c r="W23" i="2"/>
  <c r="W22" i="2"/>
  <c r="V22" i="2"/>
  <c r="W21" i="2"/>
  <c r="W19" i="2"/>
  <c r="W18" i="2"/>
  <c r="W13" i="2"/>
  <c r="W12" i="2"/>
  <c r="X67" i="2" l="1"/>
  <c r="X122" i="2"/>
  <c r="W121" i="2"/>
  <c r="W144" i="2"/>
  <c r="W142" i="2"/>
  <c r="W109" i="2"/>
  <c r="W37" i="2"/>
  <c r="W137" i="2" s="1"/>
  <c r="W28" i="2"/>
  <c r="W20" i="2"/>
  <c r="W107" i="2"/>
  <c r="W88" i="2"/>
  <c r="W97" i="2"/>
  <c r="W123" i="2"/>
  <c r="W119" i="2"/>
  <c r="W14" i="2"/>
  <c r="W124" i="2"/>
  <c r="W120" i="2"/>
  <c r="W129" i="2" l="1"/>
  <c r="W73" i="2"/>
  <c r="W147" i="2"/>
  <c r="W146" i="2"/>
  <c r="W29" i="2"/>
  <c r="W71" i="2"/>
  <c r="W108" i="2"/>
  <c r="W104" i="2"/>
  <c r="W31" i="2" l="1"/>
  <c r="W25" i="2" l="1"/>
  <c r="W72" i="2"/>
  <c r="W128" i="2"/>
  <c r="W44" i="2"/>
  <c r="W39" i="2"/>
  <c r="W54" i="2"/>
  <c r="W136" i="2"/>
  <c r="W43" i="2" l="1"/>
  <c r="W130" i="2" l="1"/>
  <c r="W74" i="2"/>
  <c r="W49" i="2"/>
  <c r="W52" i="2"/>
  <c r="W138" i="2"/>
  <c r="W47" i="2"/>
  <c r="W57" i="2" s="1"/>
  <c r="W55" i="2" l="1"/>
  <c r="W53" i="2"/>
  <c r="W56" i="2"/>
  <c r="W145" i="2"/>
  <c r="V156" i="2" l="1"/>
  <c r="V162" i="2"/>
  <c r="U118" i="2" l="1"/>
  <c r="V118" i="2"/>
  <c r="V12" i="2" l="1"/>
  <c r="V135" i="2" l="1"/>
  <c r="U143" i="2" l="1"/>
  <c r="U135" i="2" l="1"/>
  <c r="V86" i="2" l="1"/>
  <c r="V115" i="2"/>
  <c r="V89" i="2"/>
  <c r="V91" i="2"/>
  <c r="V164" i="2"/>
  <c r="V163" i="2"/>
  <c r="V161" i="2"/>
  <c r="V158" i="2"/>
  <c r="V148" i="2"/>
  <c r="V141" i="2"/>
  <c r="V134" i="2"/>
  <c r="V125" i="2"/>
  <c r="V117" i="2"/>
  <c r="V116" i="2"/>
  <c r="V114" i="2"/>
  <c r="V103" i="2"/>
  <c r="V102" i="2"/>
  <c r="V101" i="2"/>
  <c r="V100" i="2"/>
  <c r="V96" i="2"/>
  <c r="V95" i="2"/>
  <c r="V94" i="2"/>
  <c r="V90" i="2"/>
  <c r="V87" i="2"/>
  <c r="V84" i="2"/>
  <c r="V83" i="2"/>
  <c r="V79" i="2"/>
  <c r="V78" i="2"/>
  <c r="V77" i="2"/>
  <c r="V68" i="2"/>
  <c r="V60" i="2"/>
  <c r="V42" i="2"/>
  <c r="V41" i="2"/>
  <c r="V36" i="2"/>
  <c r="V35" i="2"/>
  <c r="V34" i="2"/>
  <c r="V33" i="2"/>
  <c r="V27" i="2"/>
  <c r="V26" i="2"/>
  <c r="V24" i="2"/>
  <c r="V23" i="2"/>
  <c r="V21" i="2"/>
  <c r="V19" i="2"/>
  <c r="V18" i="2"/>
  <c r="V13" i="2"/>
  <c r="V104" i="2"/>
  <c r="V159" i="2"/>
  <c r="V124" i="2" l="1"/>
  <c r="V121" i="2"/>
  <c r="V109" i="2"/>
  <c r="W122" i="2"/>
  <c r="W67" i="2"/>
  <c r="V120" i="2"/>
  <c r="V123" i="2"/>
  <c r="V14" i="2"/>
  <c r="V142" i="2"/>
  <c r="V119" i="2"/>
  <c r="V20" i="2"/>
  <c r="V85" i="2"/>
  <c r="V107" i="2" s="1"/>
  <c r="V144" i="2"/>
  <c r="V97" i="2"/>
  <c r="V37" i="2"/>
  <c r="V137" i="2" s="1"/>
  <c r="V28" i="2"/>
  <c r="V146" i="2" l="1"/>
  <c r="V129" i="2"/>
  <c r="V29" i="2"/>
  <c r="V73" i="2"/>
  <c r="V88" i="2"/>
  <c r="V108" i="2" l="1"/>
  <c r="V147" i="2"/>
  <c r="V71" i="2"/>
  <c r="V31" i="2"/>
  <c r="V44" i="2" s="1"/>
  <c r="U64" i="2"/>
  <c r="U21" i="2"/>
  <c r="U164" i="2"/>
  <c r="U163" i="2"/>
  <c r="U161" i="2"/>
  <c r="B42" i="2"/>
  <c r="C42" i="2"/>
  <c r="D42" i="2"/>
  <c r="E42" i="2"/>
  <c r="F42" i="2"/>
  <c r="G42" i="2"/>
  <c r="H42" i="2"/>
  <c r="I42" i="2"/>
  <c r="J42" i="2"/>
  <c r="K42" i="2"/>
  <c r="L42" i="2"/>
  <c r="M42" i="2"/>
  <c r="N42" i="2"/>
  <c r="O42" i="2"/>
  <c r="P42" i="2"/>
  <c r="Q42" i="2"/>
  <c r="R42" i="2"/>
  <c r="S42" i="2"/>
  <c r="T42" i="2"/>
  <c r="U42" i="2"/>
  <c r="U41" i="2"/>
  <c r="T41" i="2"/>
  <c r="S41" i="2"/>
  <c r="R41" i="2"/>
  <c r="Q41" i="2"/>
  <c r="P41" i="2"/>
  <c r="O41" i="2"/>
  <c r="N41" i="2"/>
  <c r="M41" i="2"/>
  <c r="L41" i="2"/>
  <c r="K41" i="2"/>
  <c r="J41" i="2"/>
  <c r="I41" i="2"/>
  <c r="H41" i="2"/>
  <c r="G41" i="2"/>
  <c r="F41" i="2"/>
  <c r="E41" i="2"/>
  <c r="D41" i="2"/>
  <c r="C41" i="2"/>
  <c r="B41" i="2"/>
  <c r="P26" i="2"/>
  <c r="P25" i="2"/>
  <c r="M27" i="2"/>
  <c r="L27" i="2"/>
  <c r="L26" i="2"/>
  <c r="N26" i="2"/>
  <c r="N27" i="2"/>
  <c r="O27" i="2"/>
  <c r="O26" i="2"/>
  <c r="Q26" i="2"/>
  <c r="R26" i="2"/>
  <c r="S26" i="2"/>
  <c r="T26" i="2"/>
  <c r="U19" i="2"/>
  <c r="T19" i="2"/>
  <c r="Z19" i="2" s="1"/>
  <c r="S19" i="2"/>
  <c r="R19" i="2"/>
  <c r="Q19" i="2"/>
  <c r="K18" i="2"/>
  <c r="C90" i="2"/>
  <c r="D90" i="2"/>
  <c r="E90" i="2"/>
  <c r="F90" i="2"/>
  <c r="G90" i="2"/>
  <c r="H90" i="2"/>
  <c r="I90" i="2"/>
  <c r="J90" i="2"/>
  <c r="K90" i="2"/>
  <c r="L90" i="2"/>
  <c r="M90" i="2"/>
  <c r="N90" i="2"/>
  <c r="O90" i="2"/>
  <c r="P90" i="2"/>
  <c r="Q90" i="2"/>
  <c r="R90" i="2"/>
  <c r="S90" i="2"/>
  <c r="T90" i="2"/>
  <c r="Z90" i="2" s="1"/>
  <c r="U90" i="2"/>
  <c r="T163" i="2"/>
  <c r="S163" i="2"/>
  <c r="R163" i="2"/>
  <c r="Q163" i="2"/>
  <c r="P163" i="2"/>
  <c r="O163" i="2"/>
  <c r="N163" i="2"/>
  <c r="M163" i="2"/>
  <c r="L163" i="2"/>
  <c r="K163" i="2"/>
  <c r="J163" i="2"/>
  <c r="I163" i="2"/>
  <c r="H163" i="2"/>
  <c r="G163" i="2"/>
  <c r="F163" i="2"/>
  <c r="E163" i="2"/>
  <c r="D163" i="2"/>
  <c r="C163" i="2"/>
  <c r="B163" i="2"/>
  <c r="T161" i="2"/>
  <c r="S161" i="2"/>
  <c r="R161" i="2"/>
  <c r="Q161" i="2"/>
  <c r="P161" i="2"/>
  <c r="O161" i="2"/>
  <c r="N161" i="2"/>
  <c r="M161" i="2"/>
  <c r="L161" i="2"/>
  <c r="K161" i="2"/>
  <c r="J161" i="2"/>
  <c r="I161" i="2"/>
  <c r="H161" i="2"/>
  <c r="G161" i="2"/>
  <c r="F161" i="2"/>
  <c r="E161" i="2"/>
  <c r="D161" i="2"/>
  <c r="C161" i="2"/>
  <c r="B161" i="2"/>
  <c r="U162" i="2"/>
  <c r="T162" i="2"/>
  <c r="S162" i="2"/>
  <c r="R162" i="2"/>
  <c r="Q162" i="2"/>
  <c r="P162" i="2"/>
  <c r="O162" i="2"/>
  <c r="N162" i="2"/>
  <c r="M162" i="2"/>
  <c r="L162" i="2"/>
  <c r="K162" i="2"/>
  <c r="J162" i="2"/>
  <c r="I162" i="2"/>
  <c r="H162" i="2"/>
  <c r="G162" i="2"/>
  <c r="F162" i="2"/>
  <c r="E162" i="2"/>
  <c r="D162" i="2"/>
  <c r="C162" i="2"/>
  <c r="B162" i="2"/>
  <c r="Q115" i="2"/>
  <c r="R115" i="2"/>
  <c r="S115" i="2"/>
  <c r="T115" i="2"/>
  <c r="Z115" i="2" s="1"/>
  <c r="U115" i="2"/>
  <c r="J61" i="2"/>
  <c r="J62" i="2"/>
  <c r="J63" i="2"/>
  <c r="J64" i="2"/>
  <c r="J60" i="2"/>
  <c r="B64" i="2"/>
  <c r="C64" i="2"/>
  <c r="D64" i="2"/>
  <c r="E64" i="2"/>
  <c r="F64" i="2"/>
  <c r="G64" i="2"/>
  <c r="H64" i="2"/>
  <c r="I64" i="2"/>
  <c r="K64" i="2"/>
  <c r="L64" i="2"/>
  <c r="M64" i="2"/>
  <c r="N64" i="2"/>
  <c r="O64" i="2"/>
  <c r="P64" i="2"/>
  <c r="Q64" i="2"/>
  <c r="B61" i="2"/>
  <c r="C61" i="2"/>
  <c r="D61" i="2"/>
  <c r="E61" i="2"/>
  <c r="F61" i="2"/>
  <c r="G61" i="2"/>
  <c r="H61" i="2"/>
  <c r="I61" i="2"/>
  <c r="K61" i="2"/>
  <c r="L61" i="2"/>
  <c r="M61" i="2"/>
  <c r="N61" i="2"/>
  <c r="O61" i="2"/>
  <c r="P61" i="2"/>
  <c r="Q61" i="2"/>
  <c r="B62" i="2"/>
  <c r="C62" i="2"/>
  <c r="D62" i="2"/>
  <c r="E62" i="2"/>
  <c r="F62" i="2"/>
  <c r="G62" i="2"/>
  <c r="H62" i="2"/>
  <c r="I62" i="2"/>
  <c r="K62" i="2"/>
  <c r="L62" i="2"/>
  <c r="M62" i="2"/>
  <c r="N62" i="2"/>
  <c r="O62" i="2"/>
  <c r="P62" i="2"/>
  <c r="Q62" i="2"/>
  <c r="B63" i="2"/>
  <c r="C63" i="2"/>
  <c r="D63" i="2"/>
  <c r="E63" i="2"/>
  <c r="F63" i="2"/>
  <c r="G63" i="2"/>
  <c r="H63" i="2"/>
  <c r="I63" i="2"/>
  <c r="K63" i="2"/>
  <c r="L63" i="2"/>
  <c r="M63" i="2"/>
  <c r="N63" i="2"/>
  <c r="O63" i="2"/>
  <c r="P63" i="2"/>
  <c r="Q63" i="2"/>
  <c r="R61" i="2"/>
  <c r="R62" i="2"/>
  <c r="R63" i="2"/>
  <c r="R64" i="2"/>
  <c r="S61" i="2"/>
  <c r="S62" i="2"/>
  <c r="S63" i="2"/>
  <c r="S64" i="2"/>
  <c r="T61" i="2"/>
  <c r="T62" i="2"/>
  <c r="T63" i="2"/>
  <c r="T64" i="2"/>
  <c r="U61" i="2"/>
  <c r="U62" i="2"/>
  <c r="U63" i="2"/>
  <c r="B141" i="2"/>
  <c r="C141" i="2"/>
  <c r="D141" i="2"/>
  <c r="D144" i="2" s="1"/>
  <c r="E141" i="2"/>
  <c r="E144" i="2" s="1"/>
  <c r="F141" i="2"/>
  <c r="G141" i="2"/>
  <c r="G144" i="2" s="1"/>
  <c r="H141" i="2"/>
  <c r="H144" i="2" s="1"/>
  <c r="I141" i="2"/>
  <c r="J141" i="2"/>
  <c r="J144" i="2" s="1"/>
  <c r="K141" i="2"/>
  <c r="K144" i="2" s="1"/>
  <c r="L141" i="2"/>
  <c r="L144" i="2" s="1"/>
  <c r="M141" i="2"/>
  <c r="M144" i="2" s="1"/>
  <c r="N141" i="2"/>
  <c r="O141" i="2"/>
  <c r="O144" i="2" s="1"/>
  <c r="P141" i="2"/>
  <c r="P144" i="2" s="1"/>
  <c r="Q141" i="2"/>
  <c r="R141" i="2"/>
  <c r="S141" i="2"/>
  <c r="T141" i="2"/>
  <c r="U141" i="2"/>
  <c r="U144" i="2" s="1"/>
  <c r="P27" i="2"/>
  <c r="O25" i="2"/>
  <c r="N25" i="2"/>
  <c r="M25" i="2"/>
  <c r="L25" i="2"/>
  <c r="P19" i="2"/>
  <c r="O19" i="2"/>
  <c r="N19" i="2"/>
  <c r="M19" i="2"/>
  <c r="L19" i="2"/>
  <c r="P18" i="2"/>
  <c r="O18" i="2"/>
  <c r="N18" i="2"/>
  <c r="M18" i="2"/>
  <c r="L18" i="2"/>
  <c r="K27" i="2"/>
  <c r="J27" i="2"/>
  <c r="I27" i="2"/>
  <c r="K26" i="2"/>
  <c r="J26" i="2"/>
  <c r="I26" i="2"/>
  <c r="K25" i="2"/>
  <c r="J25" i="2"/>
  <c r="K19" i="2"/>
  <c r="J19" i="2"/>
  <c r="J18" i="2"/>
  <c r="H27" i="2"/>
  <c r="G27" i="2"/>
  <c r="F27" i="2"/>
  <c r="H26" i="2"/>
  <c r="G26" i="2"/>
  <c r="F26" i="2"/>
  <c r="I25" i="2"/>
  <c r="H25" i="2"/>
  <c r="G25" i="2"/>
  <c r="F25" i="2"/>
  <c r="I19" i="2"/>
  <c r="H19" i="2"/>
  <c r="G19" i="2"/>
  <c r="F19" i="2"/>
  <c r="I18" i="2"/>
  <c r="H18" i="2"/>
  <c r="G18" i="2"/>
  <c r="F18" i="2"/>
  <c r="E27" i="2"/>
  <c r="D27" i="2"/>
  <c r="C27" i="2"/>
  <c r="B27" i="2"/>
  <c r="E25" i="2"/>
  <c r="D25" i="2"/>
  <c r="C25" i="2"/>
  <c r="B25" i="2"/>
  <c r="E26" i="2"/>
  <c r="D26" i="2"/>
  <c r="C26" i="2"/>
  <c r="B26" i="2"/>
  <c r="U27" i="2"/>
  <c r="T27" i="2"/>
  <c r="S27" i="2"/>
  <c r="R27" i="2"/>
  <c r="Q27" i="2"/>
  <c r="U26" i="2"/>
  <c r="T24" i="2"/>
  <c r="Z24" i="2" s="1"/>
  <c r="S24" i="2"/>
  <c r="R24" i="2"/>
  <c r="Q24" i="2"/>
  <c r="U23" i="2"/>
  <c r="T23" i="2"/>
  <c r="Z23" i="2" s="1"/>
  <c r="S23" i="2"/>
  <c r="R23" i="2"/>
  <c r="Q23" i="2"/>
  <c r="U13" i="2"/>
  <c r="T13" i="2"/>
  <c r="S13" i="2"/>
  <c r="Z13" i="2" s="1"/>
  <c r="R13" i="2"/>
  <c r="Q13" i="2"/>
  <c r="Q12" i="2"/>
  <c r="U156" i="2"/>
  <c r="U159" i="2"/>
  <c r="T12" i="2"/>
  <c r="Z12" i="2" s="1"/>
  <c r="U18" i="2"/>
  <c r="U22" i="2"/>
  <c r="U158" i="2"/>
  <c r="U148" i="2"/>
  <c r="U134" i="2"/>
  <c r="U103" i="2"/>
  <c r="U102" i="2"/>
  <c r="U101" i="2"/>
  <c r="V157" i="2" s="1"/>
  <c r="U100" i="2"/>
  <c r="U96" i="2"/>
  <c r="U95" i="2"/>
  <c r="U94" i="2"/>
  <c r="U91" i="2"/>
  <c r="U89" i="2"/>
  <c r="U87" i="2"/>
  <c r="U86" i="2"/>
  <c r="U85" i="2"/>
  <c r="U84" i="2"/>
  <c r="U68" i="2"/>
  <c r="V122" i="2" s="1"/>
  <c r="U60" i="2"/>
  <c r="U117" i="2"/>
  <c r="U123" i="2" s="1"/>
  <c r="U116" i="2"/>
  <c r="U114" i="2"/>
  <c r="U125" i="2"/>
  <c r="U121" i="2" s="1"/>
  <c r="U80" i="2"/>
  <c r="U79" i="2"/>
  <c r="U78" i="2"/>
  <c r="U77" i="2"/>
  <c r="U36" i="2"/>
  <c r="U35" i="2"/>
  <c r="U34" i="2"/>
  <c r="U33" i="2"/>
  <c r="U104" i="2"/>
  <c r="U83" i="2"/>
  <c r="T18" i="2"/>
  <c r="Z18" i="2" s="1"/>
  <c r="S18" i="2"/>
  <c r="R18" i="2"/>
  <c r="Q18" i="2"/>
  <c r="T159" i="2"/>
  <c r="T156" i="2"/>
  <c r="Z156" i="2" s="1"/>
  <c r="T80" i="2"/>
  <c r="Z80" i="2" s="1"/>
  <c r="T100" i="2"/>
  <c r="Z100" i="2" s="1"/>
  <c r="T158" i="2"/>
  <c r="Z158" i="2" s="1"/>
  <c r="T135" i="2"/>
  <c r="Z135" i="2" s="1"/>
  <c r="T60" i="2"/>
  <c r="Z60" i="2" s="1"/>
  <c r="T148" i="2"/>
  <c r="Z148" i="2" s="1"/>
  <c r="S33" i="2"/>
  <c r="S34" i="2"/>
  <c r="S35" i="2"/>
  <c r="S36" i="2"/>
  <c r="T35" i="2"/>
  <c r="Z35" i="2" s="1"/>
  <c r="T33" i="2"/>
  <c r="Z33" i="2" s="1"/>
  <c r="T34" i="2"/>
  <c r="Z34" i="2" s="1"/>
  <c r="T36" i="2"/>
  <c r="Z36" i="2" s="1"/>
  <c r="O10" i="2"/>
  <c r="O11" i="2"/>
  <c r="O17" i="2"/>
  <c r="O33" i="2"/>
  <c r="O34" i="2"/>
  <c r="O35" i="2"/>
  <c r="O36" i="2"/>
  <c r="T84" i="2"/>
  <c r="Z84" i="2" s="1"/>
  <c r="T85" i="2"/>
  <c r="Z85" i="2" s="1"/>
  <c r="B85" i="2"/>
  <c r="B83" i="2"/>
  <c r="B84" i="2"/>
  <c r="C85" i="2"/>
  <c r="C83" i="2"/>
  <c r="C84" i="2"/>
  <c r="D85" i="2"/>
  <c r="D83" i="2"/>
  <c r="D84" i="2"/>
  <c r="E85" i="2"/>
  <c r="E83" i="2"/>
  <c r="E84" i="2"/>
  <c r="F85" i="2"/>
  <c r="F83" i="2"/>
  <c r="F84" i="2"/>
  <c r="G85" i="2"/>
  <c r="G83" i="2"/>
  <c r="G84" i="2"/>
  <c r="H85" i="2"/>
  <c r="H83" i="2"/>
  <c r="H84" i="2"/>
  <c r="I85" i="2"/>
  <c r="I83" i="2"/>
  <c r="I84" i="2"/>
  <c r="J85" i="2"/>
  <c r="J83" i="2"/>
  <c r="J84" i="2"/>
  <c r="K85" i="2"/>
  <c r="K83" i="2"/>
  <c r="K84" i="2"/>
  <c r="L85" i="2"/>
  <c r="L83" i="2"/>
  <c r="L84" i="2"/>
  <c r="M85" i="2"/>
  <c r="M83" i="2"/>
  <c r="M84" i="2"/>
  <c r="N85" i="2"/>
  <c r="N83" i="2"/>
  <c r="N84" i="2"/>
  <c r="O85" i="2"/>
  <c r="O83" i="2"/>
  <c r="O84" i="2"/>
  <c r="P85" i="2"/>
  <c r="P83" i="2"/>
  <c r="P84" i="2"/>
  <c r="Q85" i="2"/>
  <c r="Q83" i="2"/>
  <c r="Q84" i="2"/>
  <c r="R85" i="2"/>
  <c r="R83" i="2"/>
  <c r="R84" i="2"/>
  <c r="S85" i="2"/>
  <c r="S83" i="2"/>
  <c r="S84" i="2"/>
  <c r="B154" i="2"/>
  <c r="B153" i="2"/>
  <c r="B148" i="2"/>
  <c r="B10" i="2"/>
  <c r="B11" i="2"/>
  <c r="B17" i="2"/>
  <c r="B18" i="2"/>
  <c r="B19" i="2"/>
  <c r="B33" i="2"/>
  <c r="B34" i="2"/>
  <c r="B35" i="2"/>
  <c r="B36" i="2"/>
  <c r="B60" i="2"/>
  <c r="T134" i="2"/>
  <c r="Z134" i="2" s="1"/>
  <c r="B134" i="2"/>
  <c r="T114" i="2"/>
  <c r="Z114" i="2" s="1"/>
  <c r="B114" i="2"/>
  <c r="T125" i="2"/>
  <c r="T121" i="2" s="1"/>
  <c r="Z121" i="2" s="1"/>
  <c r="B125" i="2"/>
  <c r="T117" i="2"/>
  <c r="N10" i="2"/>
  <c r="N117" i="2"/>
  <c r="T68" i="2"/>
  <c r="Z68" i="2" s="1"/>
  <c r="S68" i="2"/>
  <c r="J114" i="2"/>
  <c r="J68" i="2"/>
  <c r="J67" i="2" s="1"/>
  <c r="J125" i="2"/>
  <c r="T116" i="2"/>
  <c r="Z116" i="2" s="1"/>
  <c r="N116" i="2"/>
  <c r="B111" i="2"/>
  <c r="B100" i="2"/>
  <c r="T104" i="2"/>
  <c r="Z104" i="2" s="1"/>
  <c r="B104" i="2"/>
  <c r="T101" i="2"/>
  <c r="Z101" i="2" s="1"/>
  <c r="B101" i="2"/>
  <c r="T91" i="2"/>
  <c r="Z91" i="2" s="1"/>
  <c r="H91" i="2"/>
  <c r="T89" i="2"/>
  <c r="Z89" i="2" s="1"/>
  <c r="C89" i="2"/>
  <c r="T87" i="2"/>
  <c r="B87" i="2"/>
  <c r="S60" i="2"/>
  <c r="T103" i="2"/>
  <c r="Z103" i="2" s="1"/>
  <c r="T102" i="2"/>
  <c r="Z102" i="2" s="1"/>
  <c r="T96" i="2"/>
  <c r="Z96" i="2" s="1"/>
  <c r="T95" i="2"/>
  <c r="Z95" i="2" s="1"/>
  <c r="T94" i="2"/>
  <c r="Z94" i="2" s="1"/>
  <c r="T86" i="2"/>
  <c r="Z86" i="2" s="1"/>
  <c r="T79" i="2"/>
  <c r="T78" i="2"/>
  <c r="T77" i="2"/>
  <c r="T21" i="2"/>
  <c r="Z21" i="2" s="1"/>
  <c r="T22" i="2"/>
  <c r="Z22" i="2" s="1"/>
  <c r="S148" i="2"/>
  <c r="S135" i="2"/>
  <c r="S80" i="2"/>
  <c r="S100" i="2"/>
  <c r="R100" i="2"/>
  <c r="S156" i="2"/>
  <c r="S159" i="2"/>
  <c r="S87" i="2"/>
  <c r="S114" i="2"/>
  <c r="S117" i="2"/>
  <c r="R68" i="2"/>
  <c r="S116" i="2"/>
  <c r="S91" i="2"/>
  <c r="S89" i="2"/>
  <c r="R80" i="2"/>
  <c r="S12" i="2"/>
  <c r="S125" i="2"/>
  <c r="S121" i="2" s="1"/>
  <c r="R60" i="2"/>
  <c r="S154" i="2"/>
  <c r="S134" i="2"/>
  <c r="J10" i="2"/>
  <c r="J11" i="2"/>
  <c r="S104" i="2"/>
  <c r="S101" i="2"/>
  <c r="S158" i="2"/>
  <c r="S102" i="2"/>
  <c r="S103" i="2"/>
  <c r="S95" i="2"/>
  <c r="S96" i="2"/>
  <c r="S94" i="2"/>
  <c r="S86" i="2"/>
  <c r="S78" i="2"/>
  <c r="S79" i="2"/>
  <c r="S77" i="2"/>
  <c r="R73" i="2"/>
  <c r="S21" i="2"/>
  <c r="S22" i="2"/>
  <c r="R12" i="2"/>
  <c r="O114" i="2"/>
  <c r="O100" i="2"/>
  <c r="O46" i="2"/>
  <c r="N11" i="2"/>
  <c r="N17" i="2"/>
  <c r="N33" i="2"/>
  <c r="N34" i="2"/>
  <c r="N35" i="2"/>
  <c r="N36" i="2"/>
  <c r="N46" i="2"/>
  <c r="M10" i="2"/>
  <c r="M11" i="2"/>
  <c r="M33" i="2"/>
  <c r="M34" i="2"/>
  <c r="M35" i="2"/>
  <c r="M36" i="2"/>
  <c r="M100" i="2"/>
  <c r="L12" i="2"/>
  <c r="L14" i="2" s="1"/>
  <c r="L33" i="2"/>
  <c r="L34" i="2"/>
  <c r="L35" i="2"/>
  <c r="L36" i="2"/>
  <c r="L46" i="2"/>
  <c r="K10" i="2"/>
  <c r="K11" i="2"/>
  <c r="K17" i="2"/>
  <c r="K33" i="2"/>
  <c r="K34" i="2"/>
  <c r="K35" i="2"/>
  <c r="K36" i="2"/>
  <c r="K46" i="2"/>
  <c r="J17" i="2"/>
  <c r="J33" i="2"/>
  <c r="J34" i="2"/>
  <c r="J35" i="2"/>
  <c r="J36" i="2"/>
  <c r="J46" i="2"/>
  <c r="I10" i="2"/>
  <c r="I11" i="2"/>
  <c r="I17" i="2"/>
  <c r="I33" i="2"/>
  <c r="I34" i="2"/>
  <c r="I35" i="2"/>
  <c r="I36" i="2"/>
  <c r="I46" i="2"/>
  <c r="H10" i="2"/>
  <c r="H11" i="2"/>
  <c r="H17" i="2"/>
  <c r="H33" i="2"/>
  <c r="H34" i="2"/>
  <c r="H35" i="2"/>
  <c r="H36" i="2"/>
  <c r="H46" i="2"/>
  <c r="G10" i="2"/>
  <c r="G11" i="2"/>
  <c r="G17" i="2"/>
  <c r="G33" i="2"/>
  <c r="G34" i="2"/>
  <c r="G35" i="2"/>
  <c r="G36" i="2"/>
  <c r="G100" i="2"/>
  <c r="G46" i="2"/>
  <c r="F10" i="2"/>
  <c r="F11" i="2"/>
  <c r="F17" i="2"/>
  <c r="F33" i="2"/>
  <c r="F34" i="2"/>
  <c r="F35" i="2"/>
  <c r="F36" i="2"/>
  <c r="F46" i="2"/>
  <c r="E10" i="2"/>
  <c r="E11" i="2"/>
  <c r="E17" i="2"/>
  <c r="E18" i="2"/>
  <c r="E19" i="2"/>
  <c r="E33" i="2"/>
  <c r="E34" i="2"/>
  <c r="E35" i="2"/>
  <c r="E36" i="2"/>
  <c r="D10" i="2"/>
  <c r="D11" i="2"/>
  <c r="D17" i="2"/>
  <c r="D18" i="2"/>
  <c r="D19" i="2"/>
  <c r="D33" i="2"/>
  <c r="D34" i="2"/>
  <c r="D35" i="2"/>
  <c r="D36" i="2"/>
  <c r="C10" i="2"/>
  <c r="C11" i="2"/>
  <c r="C17" i="2"/>
  <c r="C18" i="2"/>
  <c r="C19" i="2"/>
  <c r="C33" i="2"/>
  <c r="C34" i="2"/>
  <c r="C35" i="2"/>
  <c r="C36" i="2"/>
  <c r="O148" i="2"/>
  <c r="N148" i="2"/>
  <c r="M148" i="2"/>
  <c r="L148" i="2"/>
  <c r="K148" i="2"/>
  <c r="J148" i="2"/>
  <c r="I148" i="2"/>
  <c r="H148" i="2"/>
  <c r="G148" i="2"/>
  <c r="F148" i="2"/>
  <c r="E148" i="2"/>
  <c r="D148" i="2"/>
  <c r="C148" i="2"/>
  <c r="B91" i="2"/>
  <c r="C91" i="2"/>
  <c r="D91" i="2"/>
  <c r="E91" i="2"/>
  <c r="F91" i="2"/>
  <c r="G91" i="2"/>
  <c r="I91" i="2"/>
  <c r="J91" i="2"/>
  <c r="K91" i="2"/>
  <c r="L91" i="2"/>
  <c r="M91" i="2"/>
  <c r="N91" i="2"/>
  <c r="O91" i="2"/>
  <c r="P91" i="2"/>
  <c r="Q91" i="2"/>
  <c r="R91" i="2"/>
  <c r="R158" i="2"/>
  <c r="Q158" i="2"/>
  <c r="P158" i="2"/>
  <c r="O158" i="2"/>
  <c r="N158" i="2"/>
  <c r="M158" i="2"/>
  <c r="L158" i="2"/>
  <c r="K158" i="2"/>
  <c r="J158" i="2"/>
  <c r="I158" i="2"/>
  <c r="H158" i="2"/>
  <c r="G158" i="2"/>
  <c r="F158" i="2"/>
  <c r="E158" i="2"/>
  <c r="D158" i="2"/>
  <c r="C158" i="2"/>
  <c r="B158" i="2"/>
  <c r="R156" i="2"/>
  <c r="Q156" i="2"/>
  <c r="P156" i="2"/>
  <c r="O156" i="2"/>
  <c r="N156" i="2"/>
  <c r="M156" i="2"/>
  <c r="L156" i="2"/>
  <c r="K156" i="2"/>
  <c r="J156" i="2"/>
  <c r="I156" i="2"/>
  <c r="H156" i="2"/>
  <c r="G156" i="2"/>
  <c r="F156" i="2"/>
  <c r="E156" i="2"/>
  <c r="D156" i="2"/>
  <c r="C156" i="2"/>
  <c r="B156" i="2"/>
  <c r="R154" i="2"/>
  <c r="Q154" i="2"/>
  <c r="P154" i="2"/>
  <c r="O154" i="2"/>
  <c r="N154" i="2"/>
  <c r="M154" i="2"/>
  <c r="L154" i="2"/>
  <c r="K154" i="2"/>
  <c r="J154" i="2"/>
  <c r="I154" i="2"/>
  <c r="H154" i="2"/>
  <c r="G154" i="2"/>
  <c r="F154" i="2"/>
  <c r="E154" i="2"/>
  <c r="D154" i="2"/>
  <c r="C154" i="2"/>
  <c r="R153" i="2"/>
  <c r="Q153" i="2"/>
  <c r="P153" i="2"/>
  <c r="O153" i="2"/>
  <c r="N153" i="2"/>
  <c r="M153" i="2"/>
  <c r="L153" i="2"/>
  <c r="K153" i="2"/>
  <c r="J153" i="2"/>
  <c r="I153" i="2"/>
  <c r="H153" i="2"/>
  <c r="G153" i="2"/>
  <c r="F153" i="2"/>
  <c r="E153" i="2"/>
  <c r="D153" i="2"/>
  <c r="C153" i="2"/>
  <c r="R148" i="2"/>
  <c r="Q148" i="2"/>
  <c r="P148" i="2"/>
  <c r="R135" i="2"/>
  <c r="R137" i="2" s="1"/>
  <c r="Q135" i="2"/>
  <c r="Q137" i="2" s="1"/>
  <c r="P135" i="2"/>
  <c r="P137" i="2" s="1"/>
  <c r="O135" i="2"/>
  <c r="N135" i="2"/>
  <c r="M135" i="2"/>
  <c r="L135" i="2"/>
  <c r="K135" i="2"/>
  <c r="R134" i="2"/>
  <c r="Q134" i="2"/>
  <c r="P134" i="2"/>
  <c r="O134" i="2"/>
  <c r="N134" i="2"/>
  <c r="M134" i="2"/>
  <c r="L134" i="2"/>
  <c r="K134" i="2"/>
  <c r="J134" i="2"/>
  <c r="I134" i="2"/>
  <c r="H134" i="2"/>
  <c r="G134" i="2"/>
  <c r="F134" i="2"/>
  <c r="E134" i="2"/>
  <c r="D134" i="2"/>
  <c r="C134" i="2"/>
  <c r="R129" i="2"/>
  <c r="Q129" i="2"/>
  <c r="P129" i="2"/>
  <c r="R117" i="2"/>
  <c r="Q117" i="2"/>
  <c r="P117" i="2"/>
  <c r="P123" i="2" s="1"/>
  <c r="O117" i="2"/>
  <c r="R116" i="2"/>
  <c r="Q116" i="2"/>
  <c r="P116" i="2"/>
  <c r="O116" i="2"/>
  <c r="R114" i="2"/>
  <c r="N114" i="2"/>
  <c r="I114" i="2"/>
  <c r="E114" i="2"/>
  <c r="Q114" i="2"/>
  <c r="P114" i="2"/>
  <c r="M114" i="2"/>
  <c r="L114" i="2"/>
  <c r="K114" i="2"/>
  <c r="H114" i="2"/>
  <c r="G114" i="2"/>
  <c r="F114" i="2"/>
  <c r="D114" i="2"/>
  <c r="C114" i="2"/>
  <c r="R125" i="2"/>
  <c r="R121" i="2" s="1"/>
  <c r="Q125" i="2"/>
  <c r="Q121" i="2" s="1"/>
  <c r="P125" i="2"/>
  <c r="O125" i="2"/>
  <c r="N125" i="2"/>
  <c r="M125" i="2"/>
  <c r="L125" i="2"/>
  <c r="K125" i="2"/>
  <c r="I125" i="2"/>
  <c r="H125" i="2"/>
  <c r="G125" i="2"/>
  <c r="F125" i="2"/>
  <c r="E125" i="2"/>
  <c r="D125" i="2"/>
  <c r="C125" i="2"/>
  <c r="B110" i="2"/>
  <c r="R103" i="2"/>
  <c r="Q103" i="2"/>
  <c r="P103" i="2"/>
  <c r="O103" i="2"/>
  <c r="N103" i="2"/>
  <c r="M103" i="2"/>
  <c r="L103" i="2"/>
  <c r="K103" i="2"/>
  <c r="J103" i="2"/>
  <c r="I103" i="2"/>
  <c r="H103" i="2"/>
  <c r="G103" i="2"/>
  <c r="F103" i="2"/>
  <c r="E103" i="2"/>
  <c r="D103" i="2"/>
  <c r="C103" i="2"/>
  <c r="B103" i="2"/>
  <c r="R102" i="2"/>
  <c r="Q102" i="2"/>
  <c r="P102" i="2"/>
  <c r="O102" i="2"/>
  <c r="N102" i="2"/>
  <c r="M102" i="2"/>
  <c r="L102" i="2"/>
  <c r="K102" i="2"/>
  <c r="J102" i="2"/>
  <c r="I102" i="2"/>
  <c r="H102" i="2"/>
  <c r="G102" i="2"/>
  <c r="F102" i="2"/>
  <c r="E102" i="2"/>
  <c r="D102" i="2"/>
  <c r="C102" i="2"/>
  <c r="B102" i="2"/>
  <c r="Q100" i="2"/>
  <c r="P100" i="2"/>
  <c r="N100" i="2"/>
  <c r="L100" i="2"/>
  <c r="K100" i="2"/>
  <c r="J100" i="2"/>
  <c r="I100" i="2"/>
  <c r="H100" i="2"/>
  <c r="F100" i="2"/>
  <c r="E100" i="2"/>
  <c r="D100" i="2"/>
  <c r="C100" i="2"/>
  <c r="R96" i="2"/>
  <c r="Q96" i="2"/>
  <c r="P96" i="2"/>
  <c r="O96" i="2"/>
  <c r="R95" i="2"/>
  <c r="Q95" i="2"/>
  <c r="P95" i="2"/>
  <c r="O95" i="2"/>
  <c r="R94" i="2"/>
  <c r="Q94" i="2"/>
  <c r="P94" i="2"/>
  <c r="R89" i="2"/>
  <c r="Q89" i="2"/>
  <c r="P89" i="2"/>
  <c r="O89" i="2"/>
  <c r="N89" i="2"/>
  <c r="M89" i="2"/>
  <c r="L89" i="2"/>
  <c r="K89" i="2"/>
  <c r="J89" i="2"/>
  <c r="I89" i="2"/>
  <c r="H89" i="2"/>
  <c r="G89" i="2"/>
  <c r="F89" i="2"/>
  <c r="E89" i="2"/>
  <c r="D89" i="2"/>
  <c r="R87" i="2"/>
  <c r="Q87" i="2"/>
  <c r="P87" i="2"/>
  <c r="O87" i="2"/>
  <c r="N87" i="2"/>
  <c r="M87" i="2"/>
  <c r="J87" i="2"/>
  <c r="I87" i="2"/>
  <c r="H87" i="2"/>
  <c r="G87" i="2"/>
  <c r="F87" i="2"/>
  <c r="E87" i="2"/>
  <c r="D87" i="2"/>
  <c r="C87" i="2"/>
  <c r="R86" i="2"/>
  <c r="Q86" i="2"/>
  <c r="P86" i="2"/>
  <c r="O86" i="2"/>
  <c r="N86" i="2"/>
  <c r="M86" i="2"/>
  <c r="L86" i="2"/>
  <c r="K86" i="2"/>
  <c r="Q80" i="2"/>
  <c r="P80" i="2"/>
  <c r="O80" i="2"/>
  <c r="N80" i="2"/>
  <c r="M80" i="2"/>
  <c r="L80" i="2"/>
  <c r="K80" i="2"/>
  <c r="J80" i="2"/>
  <c r="I80" i="2"/>
  <c r="H80" i="2"/>
  <c r="G80" i="2"/>
  <c r="F80" i="2"/>
  <c r="E80" i="2"/>
  <c r="D80" i="2"/>
  <c r="R79" i="2"/>
  <c r="Q79" i="2"/>
  <c r="P79" i="2"/>
  <c r="R78" i="2"/>
  <c r="Q78" i="2"/>
  <c r="P78" i="2"/>
  <c r="R77" i="2"/>
  <c r="Q77" i="2"/>
  <c r="P77" i="2"/>
  <c r="Q73" i="2"/>
  <c r="P73" i="2"/>
  <c r="Q68" i="2"/>
  <c r="P68" i="2"/>
  <c r="O68" i="2"/>
  <c r="N68" i="2"/>
  <c r="M68" i="2"/>
  <c r="L68" i="2"/>
  <c r="K68" i="2"/>
  <c r="G68" i="2"/>
  <c r="F68" i="2"/>
  <c r="E68" i="2"/>
  <c r="D68" i="2"/>
  <c r="C68" i="2"/>
  <c r="B68" i="2"/>
  <c r="G67" i="2"/>
  <c r="F67" i="2"/>
  <c r="E67" i="2"/>
  <c r="D67" i="2"/>
  <c r="C67" i="2"/>
  <c r="B67" i="2"/>
  <c r="Q60" i="2"/>
  <c r="P60" i="2"/>
  <c r="O60" i="2"/>
  <c r="N60" i="2"/>
  <c r="M60" i="2"/>
  <c r="L60" i="2"/>
  <c r="K60" i="2"/>
  <c r="I60" i="2"/>
  <c r="H60" i="2"/>
  <c r="G60" i="2"/>
  <c r="F60" i="2"/>
  <c r="E60" i="2"/>
  <c r="D60" i="2"/>
  <c r="C60" i="2"/>
  <c r="R36" i="2"/>
  <c r="Q36" i="2"/>
  <c r="P36" i="2"/>
  <c r="R35" i="2"/>
  <c r="Q35" i="2"/>
  <c r="P35" i="2"/>
  <c r="R34" i="2"/>
  <c r="Q34" i="2"/>
  <c r="P34" i="2"/>
  <c r="R33" i="2"/>
  <c r="Q33" i="2"/>
  <c r="P33" i="2"/>
  <c r="R22" i="2"/>
  <c r="Q22" i="2"/>
  <c r="R21" i="2"/>
  <c r="Q21" i="2"/>
  <c r="P12" i="2"/>
  <c r="O94" i="2"/>
  <c r="R104" i="2"/>
  <c r="Q159" i="2"/>
  <c r="P159" i="2"/>
  <c r="O159" i="2"/>
  <c r="N159" i="2"/>
  <c r="M159" i="2"/>
  <c r="L159" i="2"/>
  <c r="K159" i="2"/>
  <c r="J159" i="2"/>
  <c r="I159" i="2"/>
  <c r="H159" i="2"/>
  <c r="G159" i="2"/>
  <c r="F159" i="2"/>
  <c r="E159" i="2"/>
  <c r="D159" i="2"/>
  <c r="C159" i="2"/>
  <c r="B159" i="2"/>
  <c r="R159" i="2"/>
  <c r="Q104" i="2"/>
  <c r="P104" i="2"/>
  <c r="O104" i="2"/>
  <c r="N104" i="2"/>
  <c r="M104" i="2"/>
  <c r="L104" i="2"/>
  <c r="K104" i="2"/>
  <c r="J104" i="2"/>
  <c r="I104" i="2"/>
  <c r="H104" i="2"/>
  <c r="G104" i="2"/>
  <c r="F104" i="2"/>
  <c r="E104" i="2"/>
  <c r="D104" i="2"/>
  <c r="C104" i="2"/>
  <c r="C101" i="2"/>
  <c r="T83" i="2"/>
  <c r="Z83" i="2" s="1"/>
  <c r="T144" i="2" l="1"/>
  <c r="Z144" i="2" s="1"/>
  <c r="Z141" i="2"/>
  <c r="T123" i="2"/>
  <c r="Z123" i="2" s="1"/>
  <c r="Z117" i="2"/>
  <c r="O109" i="2"/>
  <c r="G109" i="2"/>
  <c r="I109" i="2"/>
  <c r="C107" i="2"/>
  <c r="K67" i="2"/>
  <c r="D142" i="2"/>
  <c r="D146" i="2" s="1"/>
  <c r="L142" i="2"/>
  <c r="L146" i="2" s="1"/>
  <c r="C157" i="2"/>
  <c r="P109" i="2"/>
  <c r="S123" i="2"/>
  <c r="S144" i="2"/>
  <c r="M109" i="2"/>
  <c r="K131" i="2"/>
  <c r="S67" i="2"/>
  <c r="R144" i="2"/>
  <c r="R123" i="2"/>
  <c r="T157" i="2"/>
  <c r="U157" i="2"/>
  <c r="S131" i="2"/>
  <c r="K12" i="2"/>
  <c r="K124" i="2" s="1"/>
  <c r="C142" i="2"/>
  <c r="C146" i="2" s="1"/>
  <c r="K142" i="2"/>
  <c r="K146" i="2" s="1"/>
  <c r="T142" i="2"/>
  <c r="M20" i="2"/>
  <c r="C12" i="2"/>
  <c r="C124" i="2" s="1"/>
  <c r="I20" i="2"/>
  <c r="S142" i="2"/>
  <c r="O142" i="2"/>
  <c r="O146" i="2" s="1"/>
  <c r="K109" i="2"/>
  <c r="J20" i="2"/>
  <c r="Q120" i="2"/>
  <c r="R124" i="2"/>
  <c r="B109" i="2"/>
  <c r="R67" i="2"/>
  <c r="R14" i="2"/>
  <c r="B20" i="2"/>
  <c r="D12" i="2"/>
  <c r="D14" i="2" s="1"/>
  <c r="S120" i="2"/>
  <c r="E12" i="2"/>
  <c r="E14" i="2" s="1"/>
  <c r="F12" i="2"/>
  <c r="F124" i="2" s="1"/>
  <c r="J107" i="2"/>
  <c r="E131" i="2"/>
  <c r="P120" i="2"/>
  <c r="U122" i="2"/>
  <c r="T109" i="2"/>
  <c r="R109" i="2"/>
  <c r="R101" i="2"/>
  <c r="L101" i="2"/>
  <c r="J101" i="2"/>
  <c r="H101" i="2"/>
  <c r="F101" i="2"/>
  <c r="D101" i="2"/>
  <c r="D157" i="2" s="1"/>
  <c r="P101" i="2"/>
  <c r="N101" i="2"/>
  <c r="L131" i="2"/>
  <c r="Q101" i="2"/>
  <c r="O101" i="2"/>
  <c r="H142" i="2"/>
  <c r="H146" i="2" s="1"/>
  <c r="S20" i="2"/>
  <c r="M101" i="2"/>
  <c r="K101" i="2"/>
  <c r="I101" i="2"/>
  <c r="G101" i="2"/>
  <c r="E101" i="2"/>
  <c r="J109" i="2"/>
  <c r="Q25" i="2"/>
  <c r="G107" i="2"/>
  <c r="O67" i="2"/>
  <c r="R97" i="2"/>
  <c r="M131" i="2"/>
  <c r="O120" i="2"/>
  <c r="J88" i="2"/>
  <c r="J71" i="2" s="1"/>
  <c r="O28" i="2"/>
  <c r="L109" i="2"/>
  <c r="P28" i="2"/>
  <c r="B37" i="2"/>
  <c r="B137" i="2" s="1"/>
  <c r="L88" i="2"/>
  <c r="L108" i="2" s="1"/>
  <c r="C20" i="2"/>
  <c r="L37" i="2"/>
  <c r="C28" i="2"/>
  <c r="R20" i="2"/>
  <c r="S88" i="2"/>
  <c r="B142" i="2"/>
  <c r="B146" i="2" s="1"/>
  <c r="P142" i="2"/>
  <c r="E20" i="2"/>
  <c r="R142" i="2"/>
  <c r="J142" i="2"/>
  <c r="J146" i="2" s="1"/>
  <c r="Q131" i="2"/>
  <c r="N88" i="2"/>
  <c r="N108" i="2" s="1"/>
  <c r="S37" i="2"/>
  <c r="Q88" i="2"/>
  <c r="Q71" i="2" s="1"/>
  <c r="E88" i="2"/>
  <c r="E108" i="2" s="1"/>
  <c r="N67" i="2"/>
  <c r="O107" i="2"/>
  <c r="R122" i="2"/>
  <c r="P20" i="2"/>
  <c r="I142" i="2"/>
  <c r="I146" i="2" s="1"/>
  <c r="C109" i="2"/>
  <c r="S109" i="2"/>
  <c r="U25" i="2"/>
  <c r="S25" i="2"/>
  <c r="I131" i="2"/>
  <c r="H20" i="2"/>
  <c r="S107" i="2"/>
  <c r="N20" i="2"/>
  <c r="M28" i="2"/>
  <c r="M142" i="2"/>
  <c r="M146" i="2" s="1"/>
  <c r="D20" i="2"/>
  <c r="N12" i="2"/>
  <c r="N124" i="2" s="1"/>
  <c r="T107" i="2"/>
  <c r="Z107" i="2" s="1"/>
  <c r="O97" i="2"/>
  <c r="B131" i="2"/>
  <c r="E28" i="2"/>
  <c r="T124" i="2"/>
  <c r="Z124" i="2" s="1"/>
  <c r="P88" i="2"/>
  <c r="P108" i="2" s="1"/>
  <c r="N131" i="2"/>
  <c r="M88" i="2"/>
  <c r="M71" i="2" s="1"/>
  <c r="H131" i="2"/>
  <c r="T20" i="2"/>
  <c r="Z20" i="2" s="1"/>
  <c r="S122" i="2"/>
  <c r="N107" i="2"/>
  <c r="D107" i="2"/>
  <c r="D109" i="2"/>
  <c r="R119" i="2"/>
  <c r="R120" i="2"/>
  <c r="Q97" i="2"/>
  <c r="E107" i="2"/>
  <c r="E109" i="2"/>
  <c r="Q142" i="2"/>
  <c r="Q119" i="2"/>
  <c r="T28" i="2"/>
  <c r="Z28" i="2" s="1"/>
  <c r="I144" i="2"/>
  <c r="M67" i="2"/>
  <c r="N123" i="2"/>
  <c r="H88" i="2"/>
  <c r="H108" i="2" s="1"/>
  <c r="B28" i="2"/>
  <c r="J12" i="2"/>
  <c r="J124" i="2" s="1"/>
  <c r="G88" i="2"/>
  <c r="G108" i="2" s="1"/>
  <c r="U142" i="2"/>
  <c r="U146" i="2" s="1"/>
  <c r="R131" i="2"/>
  <c r="T120" i="2"/>
  <c r="Z120" i="2" s="1"/>
  <c r="E142" i="2"/>
  <c r="E146" i="2" s="1"/>
  <c r="O12" i="2"/>
  <c r="O124" i="2" s="1"/>
  <c r="P107" i="2"/>
  <c r="C37" i="2"/>
  <c r="D37" i="2"/>
  <c r="D137" i="2" s="1"/>
  <c r="G12" i="2"/>
  <c r="G14" i="2" s="1"/>
  <c r="H12" i="2"/>
  <c r="H14" i="2" s="1"/>
  <c r="I12" i="2"/>
  <c r="I14" i="2" s="1"/>
  <c r="K88" i="2"/>
  <c r="K71" i="2" s="1"/>
  <c r="F37" i="2"/>
  <c r="F137" i="2" s="1"/>
  <c r="G37" i="2"/>
  <c r="G137" i="2" s="1"/>
  <c r="H37" i="2"/>
  <c r="H137" i="2" s="1"/>
  <c r="I37" i="2"/>
  <c r="I137" i="2" s="1"/>
  <c r="J37" i="2"/>
  <c r="J137" i="2" s="1"/>
  <c r="M12" i="2"/>
  <c r="M14" i="2" s="1"/>
  <c r="B12" i="2"/>
  <c r="B124" i="2" s="1"/>
  <c r="L124" i="2"/>
  <c r="O37" i="2"/>
  <c r="T37" i="2"/>
  <c r="Z37" i="2" s="1"/>
  <c r="U97" i="2"/>
  <c r="D88" i="2"/>
  <c r="U14" i="2"/>
  <c r="N109" i="2"/>
  <c r="R88" i="2"/>
  <c r="R107" i="2"/>
  <c r="P131" i="2"/>
  <c r="O131" i="2"/>
  <c r="B107" i="2"/>
  <c r="B88" i="2"/>
  <c r="B108" i="2" s="1"/>
  <c r="I88" i="2"/>
  <c r="I108" i="2" s="1"/>
  <c r="F131" i="2"/>
  <c r="G131" i="2"/>
  <c r="P124" i="2"/>
  <c r="P14" i="2"/>
  <c r="Q122" i="2"/>
  <c r="P67" i="2"/>
  <c r="Q67" i="2"/>
  <c r="S14" i="2"/>
  <c r="S124" i="2"/>
  <c r="Q14" i="2"/>
  <c r="N144" i="2"/>
  <c r="N142" i="2"/>
  <c r="F144" i="2"/>
  <c r="F142" i="2"/>
  <c r="F146" i="2" s="1"/>
  <c r="I107" i="2"/>
  <c r="G28" i="2"/>
  <c r="V25" i="2"/>
  <c r="K107" i="2"/>
  <c r="Q124" i="2"/>
  <c r="T14" i="2"/>
  <c r="Z14" i="2" s="1"/>
  <c r="M37" i="2"/>
  <c r="M137" i="2" s="1"/>
  <c r="N37" i="2"/>
  <c r="N137" i="2" s="1"/>
  <c r="S28" i="2"/>
  <c r="S97" i="2"/>
  <c r="E37" i="2"/>
  <c r="K37" i="2"/>
  <c r="S119" i="2"/>
  <c r="V128" i="2"/>
  <c r="V136" i="2"/>
  <c r="V54" i="2"/>
  <c r="V72" i="2"/>
  <c r="T97" i="2"/>
  <c r="Z97" i="2" s="1"/>
  <c r="O123" i="2"/>
  <c r="V67" i="2"/>
  <c r="Q109" i="2"/>
  <c r="U109" i="2"/>
  <c r="Q144" i="2"/>
  <c r="H107" i="2"/>
  <c r="Q20" i="2"/>
  <c r="T119" i="2"/>
  <c r="Z119" i="2" s="1"/>
  <c r="Q123" i="2"/>
  <c r="F28" i="2"/>
  <c r="K20" i="2"/>
  <c r="L28" i="2"/>
  <c r="F109" i="2"/>
  <c r="O88" i="2"/>
  <c r="O108" i="2" s="1"/>
  <c r="J28" i="2"/>
  <c r="L20" i="2"/>
  <c r="O20" i="2"/>
  <c r="L107" i="2"/>
  <c r="M107" i="2"/>
  <c r="J131" i="2"/>
  <c r="F107" i="2"/>
  <c r="D131" i="2"/>
  <c r="T88" i="2"/>
  <c r="Q28" i="2"/>
  <c r="H28" i="2"/>
  <c r="V39" i="2"/>
  <c r="Q107" i="2"/>
  <c r="N120" i="2"/>
  <c r="K28" i="2"/>
  <c r="C88" i="2"/>
  <c r="G142" i="2"/>
  <c r="I28" i="2"/>
  <c r="D28" i="2"/>
  <c r="P97" i="2"/>
  <c r="H109" i="2"/>
  <c r="U28" i="2"/>
  <c r="F20" i="2"/>
  <c r="U37" i="2"/>
  <c r="U137" i="2" s="1"/>
  <c r="G20" i="2"/>
  <c r="U20" i="2"/>
  <c r="N28" i="2"/>
  <c r="C131" i="2"/>
  <c r="F88" i="2"/>
  <c r="U67" i="2"/>
  <c r="T122" i="2"/>
  <c r="Z122" i="2" s="1"/>
  <c r="T67" i="2"/>
  <c r="L67" i="2"/>
  <c r="U124" i="2"/>
  <c r="U120" i="2"/>
  <c r="U107" i="2"/>
  <c r="U88" i="2"/>
  <c r="U108" i="2" s="1"/>
  <c r="U119" i="2"/>
  <c r="T25" i="2"/>
  <c r="Z25" i="2" s="1"/>
  <c r="R25" i="2"/>
  <c r="R28" i="2"/>
  <c r="T146" i="2" l="1"/>
  <c r="Z146" i="2" s="1"/>
  <c r="Z142" i="2"/>
  <c r="T71" i="2"/>
  <c r="Z71" i="2" s="1"/>
  <c r="Z88" i="2"/>
  <c r="O14" i="2"/>
  <c r="M157" i="2"/>
  <c r="S71" i="2"/>
  <c r="S146" i="2"/>
  <c r="O157" i="2"/>
  <c r="J157" i="2"/>
  <c r="L157" i="2"/>
  <c r="Q157" i="2"/>
  <c r="H157" i="2"/>
  <c r="B29" i="2"/>
  <c r="K14" i="2"/>
  <c r="S29" i="2"/>
  <c r="E157" i="2"/>
  <c r="G157" i="2"/>
  <c r="N157" i="2"/>
  <c r="K157" i="2"/>
  <c r="H29" i="2"/>
  <c r="H31" i="2" s="1"/>
  <c r="H39" i="2" s="1"/>
  <c r="H43" i="2" s="1"/>
  <c r="E129" i="2"/>
  <c r="E137" i="2"/>
  <c r="L129" i="2"/>
  <c r="L137" i="2"/>
  <c r="C129" i="2"/>
  <c r="C137" i="2"/>
  <c r="T73" i="2"/>
  <c r="Z73" i="2" s="1"/>
  <c r="T137" i="2"/>
  <c r="Z137" i="2" s="1"/>
  <c r="I157" i="2"/>
  <c r="O73" i="2"/>
  <c r="O137" i="2"/>
  <c r="P157" i="2"/>
  <c r="K73" i="2"/>
  <c r="K137" i="2"/>
  <c r="S129" i="2"/>
  <c r="S137" i="2"/>
  <c r="F157" i="2"/>
  <c r="S157" i="2"/>
  <c r="M29" i="2"/>
  <c r="M31" i="2" s="1"/>
  <c r="M136" i="2" s="1"/>
  <c r="R146" i="2"/>
  <c r="R108" i="2"/>
  <c r="R157" i="2"/>
  <c r="D29" i="2"/>
  <c r="D31" i="2" s="1"/>
  <c r="D136" i="2" s="1"/>
  <c r="C14" i="2"/>
  <c r="L71" i="2"/>
  <c r="B129" i="2"/>
  <c r="B14" i="2"/>
  <c r="I29" i="2"/>
  <c r="I31" i="2" s="1"/>
  <c r="F14" i="2"/>
  <c r="M124" i="2"/>
  <c r="I71" i="2"/>
  <c r="J29" i="2"/>
  <c r="D124" i="2"/>
  <c r="K147" i="2"/>
  <c r="P147" i="2"/>
  <c r="P146" i="2"/>
  <c r="P71" i="2"/>
  <c r="Q146" i="2"/>
  <c r="O129" i="2"/>
  <c r="P29" i="2"/>
  <c r="P31" i="2" s="1"/>
  <c r="P136" i="2" s="1"/>
  <c r="O29" i="2"/>
  <c r="S108" i="2"/>
  <c r="Q147" i="2"/>
  <c r="I124" i="2"/>
  <c r="E124" i="2"/>
  <c r="S147" i="2"/>
  <c r="T29" i="2"/>
  <c r="R71" i="2"/>
  <c r="G147" i="2"/>
  <c r="I147" i="2"/>
  <c r="Q108" i="2"/>
  <c r="R147" i="2"/>
  <c r="S73" i="2"/>
  <c r="J108" i="2"/>
  <c r="K108" i="2"/>
  <c r="M129" i="2"/>
  <c r="M73" i="2"/>
  <c r="J129" i="2"/>
  <c r="L147" i="2"/>
  <c r="H129" i="2"/>
  <c r="C29" i="2"/>
  <c r="T129" i="2"/>
  <c r="Z129" i="2" s="1"/>
  <c r="H124" i="2"/>
  <c r="J147" i="2"/>
  <c r="L73" i="2"/>
  <c r="E29" i="2"/>
  <c r="E31" i="2" s="1"/>
  <c r="E39" i="2" s="1"/>
  <c r="E43" i="2" s="1"/>
  <c r="U29" i="2"/>
  <c r="U31" i="2" s="1"/>
  <c r="U72" i="2" s="1"/>
  <c r="R29" i="2"/>
  <c r="H147" i="2"/>
  <c r="M108" i="2"/>
  <c r="G29" i="2"/>
  <c r="G31" i="2" s="1"/>
  <c r="N73" i="2"/>
  <c r="N129" i="2"/>
  <c r="G146" i="2"/>
  <c r="M147" i="2"/>
  <c r="J14" i="2"/>
  <c r="E147" i="2"/>
  <c r="N14" i="2"/>
  <c r="B147" i="2"/>
  <c r="N147" i="2"/>
  <c r="N71" i="2"/>
  <c r="N29" i="2"/>
  <c r="K29" i="2"/>
  <c r="Q29" i="2"/>
  <c r="I129" i="2"/>
  <c r="F147" i="2"/>
  <c r="D129" i="2"/>
  <c r="J73" i="2"/>
  <c r="G124" i="2"/>
  <c r="O71" i="2"/>
  <c r="O147" i="2"/>
  <c r="G129" i="2"/>
  <c r="F129" i="2"/>
  <c r="D147" i="2"/>
  <c r="D108" i="2"/>
  <c r="T147" i="2"/>
  <c r="Z147" i="2" s="1"/>
  <c r="T108" i="2"/>
  <c r="Z108" i="2" s="1"/>
  <c r="K129" i="2"/>
  <c r="U147" i="2"/>
  <c r="F29" i="2"/>
  <c r="N146" i="2"/>
  <c r="L29" i="2"/>
  <c r="L31" i="2" s="1"/>
  <c r="V43" i="2"/>
  <c r="V130" i="2" s="1"/>
  <c r="U129" i="2"/>
  <c r="U73" i="2"/>
  <c r="C147" i="2"/>
  <c r="C108" i="2"/>
  <c r="F108" i="2"/>
  <c r="U71" i="2"/>
  <c r="T31" i="2" l="1"/>
  <c r="Z31" i="2" s="1"/>
  <c r="Z29" i="2"/>
  <c r="K31" i="2"/>
  <c r="K136" i="2" s="1"/>
  <c r="O31" i="2"/>
  <c r="O72" i="2" s="1"/>
  <c r="S31" i="2"/>
  <c r="S39" i="2" s="1"/>
  <c r="C31" i="2"/>
  <c r="C54" i="2" s="1"/>
  <c r="B31" i="2"/>
  <c r="B128" i="2" s="1"/>
  <c r="R31" i="2"/>
  <c r="R44" i="2" s="1"/>
  <c r="D128" i="2"/>
  <c r="F31" i="2"/>
  <c r="F136" i="2" s="1"/>
  <c r="D39" i="2"/>
  <c r="D43" i="2" s="1"/>
  <c r="D52" i="2" s="1"/>
  <c r="D54" i="2"/>
  <c r="D44" i="2"/>
  <c r="J31" i="2"/>
  <c r="J54" i="2" s="1"/>
  <c r="M54" i="2"/>
  <c r="P39" i="2"/>
  <c r="P43" i="2" s="1"/>
  <c r="P138" i="2" s="1"/>
  <c r="P72" i="2"/>
  <c r="P44" i="2"/>
  <c r="P128" i="2"/>
  <c r="N31" i="2"/>
  <c r="N54" i="2" s="1"/>
  <c r="P54" i="2"/>
  <c r="K72" i="2"/>
  <c r="T128" i="2"/>
  <c r="Z128" i="2" s="1"/>
  <c r="T44" i="2"/>
  <c r="Z44" i="2" s="1"/>
  <c r="T136" i="2"/>
  <c r="Z136" i="2" s="1"/>
  <c r="T39" i="2"/>
  <c r="T54" i="2"/>
  <c r="Z54" i="2" s="1"/>
  <c r="O136" i="2"/>
  <c r="G44" i="2"/>
  <c r="G128" i="2"/>
  <c r="G39" i="2"/>
  <c r="G43" i="2" s="1"/>
  <c r="G49" i="2" s="1"/>
  <c r="E54" i="2"/>
  <c r="T72" i="2"/>
  <c r="Z72" i="2" s="1"/>
  <c r="M39" i="2"/>
  <c r="M43" i="2" s="1"/>
  <c r="M130" i="2" s="1"/>
  <c r="M44" i="2"/>
  <c r="E128" i="2"/>
  <c r="M72" i="2"/>
  <c r="E136" i="2"/>
  <c r="E44" i="2"/>
  <c r="M128" i="2"/>
  <c r="K44" i="2"/>
  <c r="K128" i="2"/>
  <c r="G54" i="2"/>
  <c r="Q31" i="2"/>
  <c r="G136" i="2"/>
  <c r="H128" i="2"/>
  <c r="E130" i="2"/>
  <c r="E52" i="2"/>
  <c r="E138" i="2"/>
  <c r="H136" i="2"/>
  <c r="H54" i="2"/>
  <c r="H44" i="2"/>
  <c r="V74" i="2"/>
  <c r="V49" i="2"/>
  <c r="V52" i="2"/>
  <c r="V138" i="2"/>
  <c r="L44" i="2"/>
  <c r="L72" i="2"/>
  <c r="L136" i="2"/>
  <c r="L39" i="2"/>
  <c r="L43" i="2" s="1"/>
  <c r="L54" i="2"/>
  <c r="L128" i="2"/>
  <c r="V47" i="2"/>
  <c r="I54" i="2"/>
  <c r="I39" i="2"/>
  <c r="I43" i="2" s="1"/>
  <c r="I128" i="2"/>
  <c r="I44" i="2"/>
  <c r="I136" i="2"/>
  <c r="U136" i="2"/>
  <c r="U44" i="2"/>
  <c r="U39" i="2"/>
  <c r="U128" i="2"/>
  <c r="U54" i="2"/>
  <c r="H47" i="2"/>
  <c r="H52" i="2"/>
  <c r="H130" i="2"/>
  <c r="H138" i="2"/>
  <c r="H49" i="2"/>
  <c r="O128" i="2" l="1"/>
  <c r="K54" i="2"/>
  <c r="O44" i="2"/>
  <c r="O39" i="2"/>
  <c r="O43" i="2" s="1"/>
  <c r="O138" i="2" s="1"/>
  <c r="O54" i="2"/>
  <c r="C39" i="2"/>
  <c r="C43" i="2" s="1"/>
  <c r="C138" i="2" s="1"/>
  <c r="T43" i="2"/>
  <c r="T47" i="2" s="1"/>
  <c r="Z39" i="2"/>
  <c r="K39" i="2"/>
  <c r="K43" i="2" s="1"/>
  <c r="K130" i="2" s="1"/>
  <c r="C128" i="2"/>
  <c r="S54" i="2"/>
  <c r="C136" i="2"/>
  <c r="T52" i="2"/>
  <c r="Z52" i="2" s="1"/>
  <c r="S136" i="2"/>
  <c r="S44" i="2"/>
  <c r="S72" i="2"/>
  <c r="S128" i="2"/>
  <c r="B136" i="2"/>
  <c r="C44" i="2"/>
  <c r="R128" i="2"/>
  <c r="R54" i="2"/>
  <c r="R72" i="2"/>
  <c r="R39" i="2"/>
  <c r="R43" i="2" s="1"/>
  <c r="R49" i="2" s="1"/>
  <c r="S43" i="2"/>
  <c r="S49" i="2" s="1"/>
  <c r="B44" i="2"/>
  <c r="B54" i="2"/>
  <c r="B39" i="2"/>
  <c r="B43" i="2" s="1"/>
  <c r="B130" i="2" s="1"/>
  <c r="G47" i="2"/>
  <c r="G53" i="2" s="1"/>
  <c r="N136" i="2"/>
  <c r="J44" i="2"/>
  <c r="N44" i="2"/>
  <c r="N39" i="2"/>
  <c r="N43" i="2" s="1"/>
  <c r="N138" i="2" s="1"/>
  <c r="G138" i="2"/>
  <c r="D130" i="2"/>
  <c r="D138" i="2"/>
  <c r="G130" i="2"/>
  <c r="N72" i="2"/>
  <c r="N128" i="2"/>
  <c r="R136" i="2"/>
  <c r="J136" i="2"/>
  <c r="F54" i="2"/>
  <c r="Q39" i="2"/>
  <c r="Q43" i="2" s="1"/>
  <c r="Q52" i="2" s="1"/>
  <c r="G52" i="2"/>
  <c r="F39" i="2"/>
  <c r="F43" i="2" s="1"/>
  <c r="F47" i="2" s="1"/>
  <c r="F55" i="2" s="1"/>
  <c r="F44" i="2"/>
  <c r="J72" i="2"/>
  <c r="J128" i="2"/>
  <c r="F128" i="2"/>
  <c r="J39" i="2"/>
  <c r="J43" i="2" s="1"/>
  <c r="J130" i="2" s="1"/>
  <c r="P47" i="2"/>
  <c r="P56" i="2" s="1"/>
  <c r="P74" i="2"/>
  <c r="P130" i="2"/>
  <c r="P49" i="2"/>
  <c r="P52" i="2"/>
  <c r="O130" i="2"/>
  <c r="O52" i="2"/>
  <c r="E46" i="2"/>
  <c r="E47" i="2" s="1"/>
  <c r="O47" i="2"/>
  <c r="Q54" i="2"/>
  <c r="M52" i="2"/>
  <c r="Q72" i="2"/>
  <c r="M74" i="2"/>
  <c r="Q44" i="2"/>
  <c r="M49" i="2"/>
  <c r="M47" i="2"/>
  <c r="M138" i="2"/>
  <c r="Q136" i="2"/>
  <c r="Q128" i="2"/>
  <c r="C46" i="2"/>
  <c r="V55" i="2"/>
  <c r="V56" i="2"/>
  <c r="V57" i="2"/>
  <c r="V53" i="2"/>
  <c r="L74" i="2"/>
  <c r="L138" i="2"/>
  <c r="L49" i="2"/>
  <c r="L47" i="2"/>
  <c r="L130" i="2"/>
  <c r="L52" i="2"/>
  <c r="V145" i="2"/>
  <c r="I138" i="2"/>
  <c r="I49" i="2"/>
  <c r="I130" i="2"/>
  <c r="I47" i="2"/>
  <c r="I52" i="2"/>
  <c r="B46" i="2"/>
  <c r="H57" i="2"/>
  <c r="H55" i="2"/>
  <c r="H145" i="2"/>
  <c r="H56" i="2"/>
  <c r="H53" i="2"/>
  <c r="U43" i="2"/>
  <c r="D46" i="2"/>
  <c r="C52" i="2" l="1"/>
  <c r="T49" i="2"/>
  <c r="Z49" i="2" s="1"/>
  <c r="C130" i="2"/>
  <c r="T130" i="2"/>
  <c r="Z130" i="2" s="1"/>
  <c r="K52" i="2"/>
  <c r="K138" i="2"/>
  <c r="K49" i="2"/>
  <c r="K74" i="2"/>
  <c r="T138" i="2"/>
  <c r="Z138" i="2" s="1"/>
  <c r="O49" i="2"/>
  <c r="O74" i="2"/>
  <c r="K47" i="2"/>
  <c r="K53" i="2" s="1"/>
  <c r="T56" i="2"/>
  <c r="Z56" i="2" s="1"/>
  <c r="Z47" i="2"/>
  <c r="T74" i="2"/>
  <c r="Z74" i="2" s="1"/>
  <c r="Z43" i="2"/>
  <c r="S52" i="2"/>
  <c r="S130" i="2"/>
  <c r="S74" i="2"/>
  <c r="S47" i="2"/>
  <c r="S56" i="2" s="1"/>
  <c r="S138" i="2"/>
  <c r="G57" i="2"/>
  <c r="R47" i="2"/>
  <c r="R53" i="2" s="1"/>
  <c r="G145" i="2"/>
  <c r="N130" i="2"/>
  <c r="G55" i="2"/>
  <c r="G56" i="2"/>
  <c r="T57" i="2"/>
  <c r="Z57" i="2" s="1"/>
  <c r="B138" i="2"/>
  <c r="J138" i="2"/>
  <c r="B52" i="2"/>
  <c r="T55" i="2"/>
  <c r="Z55" i="2" s="1"/>
  <c r="T145" i="2"/>
  <c r="Z145" i="2" s="1"/>
  <c r="T53" i="2"/>
  <c r="Z53" i="2" s="1"/>
  <c r="N49" i="2"/>
  <c r="R130" i="2"/>
  <c r="Q49" i="2"/>
  <c r="N52" i="2"/>
  <c r="J74" i="2"/>
  <c r="R52" i="2"/>
  <c r="R74" i="2"/>
  <c r="N47" i="2"/>
  <c r="N74" i="2"/>
  <c r="R138" i="2"/>
  <c r="Q47" i="2"/>
  <c r="Q56" i="2" s="1"/>
  <c r="F130" i="2"/>
  <c r="F56" i="2"/>
  <c r="Q138" i="2"/>
  <c r="Q130" i="2"/>
  <c r="F53" i="2"/>
  <c r="F52" i="2"/>
  <c r="F57" i="2"/>
  <c r="F138" i="2"/>
  <c r="F145" i="2"/>
  <c r="F49" i="2"/>
  <c r="Q74" i="2"/>
  <c r="J49" i="2"/>
  <c r="J47" i="2"/>
  <c r="J52" i="2"/>
  <c r="P53" i="2"/>
  <c r="P55" i="2"/>
  <c r="P57" i="2"/>
  <c r="P145" i="2"/>
  <c r="E49" i="2"/>
  <c r="O145" i="2"/>
  <c r="O56" i="2"/>
  <c r="O57" i="2"/>
  <c r="O55" i="2"/>
  <c r="O53" i="2"/>
  <c r="M53" i="2"/>
  <c r="M145" i="2"/>
  <c r="M55" i="2"/>
  <c r="M56" i="2"/>
  <c r="M57" i="2"/>
  <c r="C47" i="2"/>
  <c r="C49" i="2"/>
  <c r="L55" i="2"/>
  <c r="L57" i="2"/>
  <c r="L56" i="2"/>
  <c r="L53" i="2"/>
  <c r="L145" i="2"/>
  <c r="I53" i="2"/>
  <c r="I56" i="2"/>
  <c r="I57" i="2"/>
  <c r="I55" i="2"/>
  <c r="I145" i="2"/>
  <c r="B49" i="2"/>
  <c r="B47" i="2"/>
  <c r="E145" i="2"/>
  <c r="E57" i="2"/>
  <c r="E53" i="2"/>
  <c r="E56" i="2"/>
  <c r="E55" i="2"/>
  <c r="U49" i="2"/>
  <c r="U138" i="2"/>
  <c r="U130" i="2"/>
  <c r="U74" i="2"/>
  <c r="U47" i="2"/>
  <c r="U52" i="2"/>
  <c r="D49" i="2"/>
  <c r="D47" i="2"/>
  <c r="K145" i="2" l="1"/>
  <c r="K56" i="2"/>
  <c r="K57" i="2"/>
  <c r="K55" i="2"/>
  <c r="R55" i="2"/>
  <c r="R145" i="2"/>
  <c r="S55" i="2"/>
  <c r="R56" i="2"/>
  <c r="S53" i="2"/>
  <c r="R57" i="2"/>
  <c r="S57" i="2"/>
  <c r="S145" i="2"/>
  <c r="Q55" i="2"/>
  <c r="Q145" i="2"/>
  <c r="Q57" i="2"/>
  <c r="Q53" i="2"/>
  <c r="N55" i="2"/>
  <c r="N57" i="2"/>
  <c r="N145" i="2"/>
  <c r="N56" i="2"/>
  <c r="N53" i="2"/>
  <c r="J55" i="2"/>
  <c r="J57" i="2"/>
  <c r="J56" i="2"/>
  <c r="J145" i="2"/>
  <c r="J53" i="2"/>
  <c r="C53" i="2"/>
  <c r="C145" i="2"/>
  <c r="C55" i="2"/>
  <c r="C56" i="2"/>
  <c r="C57" i="2"/>
  <c r="B53" i="2"/>
  <c r="B57" i="2"/>
  <c r="B56" i="2"/>
  <c r="B145" i="2"/>
  <c r="B55" i="2"/>
  <c r="D145" i="2"/>
  <c r="D56" i="2"/>
  <c r="D53" i="2"/>
  <c r="D55" i="2"/>
  <c r="D57" i="2"/>
  <c r="U56" i="2"/>
  <c r="U145" i="2"/>
  <c r="U53" i="2"/>
  <c r="U55" i="2"/>
  <c r="U5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Ericson</author>
    <author>Elin Emfeldt</author>
    <author>Hjalmar Wikholm</author>
  </authors>
  <commentList>
    <comment ref="CR24" authorId="0" shapeId="0" xr:uid="{4036CE10-3B1E-45DE-B773-97EA5109379A}">
      <text>
        <r>
          <rPr>
            <sz val="9"/>
            <color indexed="81"/>
            <rFont val="Tahoma"/>
            <family val="2"/>
          </rPr>
          <t>Including SEK -15.3 million relating to Avanza compensating customers' for residual tax after Avanza offered too high interest rates on Investment Savings Accounts (ISK). Read more in Avanza's Interim Report January-June 2024.</t>
        </r>
      </text>
    </comment>
    <comment ref="CS24" authorId="1" shapeId="0" xr:uid="{FB1A6D8C-459D-4952-B37B-FFAC35DC0EAA}">
      <text>
        <r>
          <rPr>
            <sz val="9"/>
            <color indexed="81"/>
            <rFont val="Tahoma"/>
            <family val="2"/>
          </rPr>
          <t>Including SEK -10.5 million relating to Avanza compensating customers' for residual tax after Avanza offered too high interest rates on Investment Savings Accounts (ISK). Read more in Avanza's Interim Report January-September 2024.</t>
        </r>
      </text>
    </comment>
    <comment ref="CT24" authorId="1" shapeId="0" xr:uid="{F202F299-534B-4EE0-840F-99E6A781148C}">
      <text>
        <r>
          <rPr>
            <sz val="9"/>
            <color indexed="81"/>
            <rFont val="Tahoma"/>
            <family val="2"/>
          </rPr>
          <t>Including SEK -2.7 million relating to Avanza compensating customers' for residual tax after Avanza offered too high interest rates on Investment Savings Accounts (ISK). Read more in Avanza's Preliminary Financial Statement 2024.</t>
        </r>
      </text>
    </comment>
    <comment ref="CR28" authorId="0" shapeId="0" xr:uid="{DC3B2AD0-38A8-480E-BA8A-EF1D5EC96344}">
      <text>
        <r>
          <rPr>
            <sz val="9"/>
            <color indexed="81"/>
            <rFont val="Tahoma"/>
            <family val="2"/>
          </rPr>
          <t>Including SEK -15.3 million relating to Avanza compensating customers' for residual tax after Avanza offered too high interest rates on Investment Savings Accounts (ISK). Read more in Avanza's Interim Report January-June 2024.</t>
        </r>
      </text>
    </comment>
    <comment ref="CS28" authorId="1" shapeId="0" xr:uid="{E11D6334-3E06-4A2B-AD7F-E045FD75EC97}">
      <text>
        <r>
          <rPr>
            <sz val="9"/>
            <color indexed="81"/>
            <rFont val="Tahoma"/>
            <family val="2"/>
          </rPr>
          <t>Including SEK -10.5 million relating to Avanza compensating customers' for residual tax after Avanza offered too high interest rates on Investment Savings Accounts (ISK). Read more in Avanza's Interim Report January-September 2024.</t>
        </r>
      </text>
    </comment>
    <comment ref="CT28" authorId="1" shapeId="0" xr:uid="{9349A085-281D-43CC-9099-64D7A135CF65}">
      <text>
        <r>
          <rPr>
            <sz val="9"/>
            <color indexed="81"/>
            <rFont val="Tahoma"/>
            <family val="2"/>
          </rPr>
          <t>Including SEK -2.7 million relating to Avanza compensating customers' for residual tax after Avanza offered too high interest rates on Investment Savings Accounts (ISK). Read more in Avanza's Preliminary Financial Statement 2024.</t>
        </r>
      </text>
    </comment>
    <comment ref="BV36" authorId="2" shapeId="0" xr:uid="{9ECC1151-1171-43CE-8FCF-0975C3B56559}">
      <text>
        <r>
          <rPr>
            <sz val="9"/>
            <color indexed="81"/>
            <rFont val="Tahoma"/>
            <family val="2"/>
          </rPr>
          <t>Including the Swedish Financial Supervisory Authority’s administrative fee of SEK 35 million on the subsidiary Försäkringsaktiebolaget Avanza Pension.</t>
        </r>
      </text>
    </comment>
    <comment ref="CR36" authorId="0" shapeId="0" xr:uid="{CF3F03D1-0FF9-4473-B12C-EE56FD8E8340}">
      <text>
        <r>
          <rPr>
            <sz val="9"/>
            <color indexed="81"/>
            <rFont val="Tahoma"/>
            <family val="2"/>
          </rPr>
          <t>Including the Swedish Authority for Privacy Protection's administrative fine of SEK 15 million related to an incident in 2021.</t>
        </r>
      </text>
    </comment>
    <comment ref="CS36" authorId="1" shapeId="0" xr:uid="{5889011D-133D-4AD4-B418-250AAA8135FB}">
      <text>
        <r>
          <rPr>
            <sz val="9"/>
            <color indexed="81"/>
            <rFont val="Tahoma"/>
            <family val="2"/>
          </rPr>
          <t>Including costs of SEK 10,7 million related to the collaboration with Affärsvärlden.</t>
        </r>
      </text>
    </comment>
    <comment ref="BR64" authorId="1" shapeId="0" xr:uid="{E8CE247C-300A-4482-81D9-EEB66667A16A}">
      <text>
        <r>
          <rPr>
            <sz val="9"/>
            <color indexed="81"/>
            <rFont val="Tahoma"/>
            <family val="2"/>
          </rPr>
          <t>Restated from 1,52 to 1,55. See note 4 in the Interim Report January-March 2018.</t>
        </r>
      </text>
    </comment>
    <comment ref="BV73" authorId="2" shapeId="0" xr:uid="{35BA174B-017E-45EB-9EA8-88F1544E0283}">
      <text>
        <r>
          <rPr>
            <sz val="9"/>
            <color indexed="81"/>
            <rFont val="Tahoma"/>
            <family val="2"/>
          </rPr>
          <t>Excluding administrative fee of SEK 35 million</t>
        </r>
      </text>
    </comment>
    <comment ref="BV74" authorId="2" shapeId="0" xr:uid="{80A94281-7C66-43C1-A51C-717A1E3529A5}">
      <text>
        <r>
          <rPr>
            <sz val="9"/>
            <color indexed="81"/>
            <rFont val="Tahoma"/>
            <family val="2"/>
          </rPr>
          <t>Excluding administrative fee of SEK 35 million</t>
        </r>
      </text>
    </comment>
    <comment ref="CJ114" authorId="0" shapeId="0" xr:uid="{33D3902C-6441-474F-9C97-2DA57796FBDA}">
      <text>
        <r>
          <rPr>
            <sz val="9"/>
            <color indexed="81"/>
            <rFont val="Roboto"/>
            <scheme val="minor"/>
          </rPr>
          <t>See note 5</t>
        </r>
      </text>
    </comment>
    <comment ref="BV129" authorId="2" shapeId="0" xr:uid="{2A70143F-1779-430B-9E48-ACA51FA2C786}">
      <text>
        <r>
          <rPr>
            <sz val="9"/>
            <color indexed="81"/>
            <rFont val="Tahoma"/>
            <family val="2"/>
          </rPr>
          <t>Excluding administrative fee of SEK 35 million</t>
        </r>
      </text>
    </comment>
    <comment ref="BV130" authorId="2" shapeId="0" xr:uid="{1CC908D5-9A07-4A0C-8BDE-14F889201AC4}">
      <text>
        <r>
          <rPr>
            <sz val="9"/>
            <color indexed="81"/>
            <rFont val="Tahoma"/>
            <family val="2"/>
          </rPr>
          <t>Excluding administrative fee of SEK 35 million</t>
        </r>
      </text>
    </comment>
    <comment ref="BV137" authorId="2" shapeId="0" xr:uid="{7B49F789-7A37-464D-A32E-5F329446A8F3}">
      <text>
        <r>
          <rPr>
            <sz val="9"/>
            <color indexed="81"/>
            <rFont val="Tahoma"/>
            <family val="2"/>
          </rPr>
          <t>Excluding administrative fee of SEK 35 million</t>
        </r>
      </text>
    </comment>
    <comment ref="BV138" authorId="2" shapeId="0" xr:uid="{B73D8227-430E-425B-B822-EFDAADFBF320}">
      <text>
        <r>
          <rPr>
            <sz val="9"/>
            <color indexed="81"/>
            <rFont val="Tahoma"/>
            <family val="2"/>
          </rPr>
          <t>Excluding administrative fee of SEK 35 million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Hjalmar Wikholm</author>
    <author>Elin Emfeldt</author>
  </authors>
  <commentList>
    <comment ref="S73" authorId="0" shapeId="0" xr:uid="{00000000-0006-0000-0100-000001000000}">
      <text>
        <r>
          <rPr>
            <sz val="9"/>
            <color indexed="81"/>
            <rFont val="Tahoma"/>
            <family val="2"/>
          </rPr>
          <t>Excluding administrative fee of SEK 35 million</t>
        </r>
      </text>
    </comment>
    <comment ref="S74" authorId="0" shapeId="0" xr:uid="{00000000-0006-0000-0100-000002000000}">
      <text>
        <r>
          <rPr>
            <sz val="9"/>
            <color indexed="81"/>
            <rFont val="Tahoma"/>
            <family val="2"/>
          </rPr>
          <t>Excluding administrative fee of SEK 35 million</t>
        </r>
      </text>
    </comment>
    <comment ref="S129" authorId="0" shapeId="0" xr:uid="{00000000-0006-0000-0100-000003000000}">
      <text>
        <r>
          <rPr>
            <sz val="9"/>
            <color indexed="81"/>
            <rFont val="Tahoma"/>
            <family val="2"/>
          </rPr>
          <t>Excluding administrative fee of SEK 35 million</t>
        </r>
      </text>
    </comment>
    <comment ref="S130" authorId="0" shapeId="0" xr:uid="{00000000-0006-0000-0100-000004000000}">
      <text>
        <r>
          <rPr>
            <sz val="9"/>
            <color indexed="81"/>
            <rFont val="Tahoma"/>
            <family val="2"/>
          </rPr>
          <t>Excluding administrative fee of SEK 35 million</t>
        </r>
      </text>
    </comment>
    <comment ref="S137" authorId="0" shapeId="0" xr:uid="{00000000-0006-0000-0100-000005000000}">
      <text>
        <r>
          <rPr>
            <sz val="9"/>
            <color indexed="81"/>
            <rFont val="Tahoma"/>
            <family val="2"/>
          </rPr>
          <t>Excluding administrative fee of SEK 35 million</t>
        </r>
      </text>
    </comment>
    <comment ref="S138" authorId="0" shapeId="0" xr:uid="{00000000-0006-0000-0100-000006000000}">
      <text>
        <r>
          <rPr>
            <sz val="9"/>
            <color indexed="81"/>
            <rFont val="Tahoma"/>
            <family val="2"/>
          </rPr>
          <t>Excluding administrative fee of SEK 35 million</t>
        </r>
      </text>
    </comment>
    <comment ref="Y143" authorId="1" shapeId="0" xr:uid="{ABBBA187-409A-4257-BFED-848CD2B66EBA}">
      <text>
        <r>
          <rPr>
            <sz val="9"/>
            <color indexed="81"/>
            <rFont val="Tahoma"/>
            <family val="2"/>
          </rPr>
          <t>Proposed divided of SEK 11.75 per share of the profit 2024</t>
        </r>
      </text>
    </comment>
  </commentList>
</comments>
</file>

<file path=xl/sharedStrings.xml><?xml version="1.0" encoding="utf-8"?>
<sst xmlns="http://schemas.openxmlformats.org/spreadsheetml/2006/main" count="3081" uniqueCount="275">
  <si>
    <t>Q1/01</t>
  </si>
  <si>
    <t>Q2/01</t>
  </si>
  <si>
    <t>Q3/01</t>
  </si>
  <si>
    <t>Q4/01</t>
  </si>
  <si>
    <t>Q1/02</t>
  </si>
  <si>
    <t>Q2/02</t>
  </si>
  <si>
    <t>Q3/02</t>
  </si>
  <si>
    <t>Q4/04</t>
  </si>
  <si>
    <t>Q1/03</t>
  </si>
  <si>
    <t>Q2/03</t>
  </si>
  <si>
    <t>Q3/03</t>
  </si>
  <si>
    <t>Q4/03</t>
  </si>
  <si>
    <t>Q1/04</t>
  </si>
  <si>
    <t>Q2/04</t>
  </si>
  <si>
    <t>Q3/04</t>
  </si>
  <si>
    <t>Q1/05</t>
  </si>
  <si>
    <t>Q2/05</t>
  </si>
  <si>
    <t>Q3/05</t>
  </si>
  <si>
    <t>Q4/05</t>
  </si>
  <si>
    <t>Q1/06</t>
  </si>
  <si>
    <t>Q2/06</t>
  </si>
  <si>
    <t>Q3/06</t>
  </si>
  <si>
    <t>Q4/06</t>
  </si>
  <si>
    <t>Q1/07</t>
  </si>
  <si>
    <t>Q2/07</t>
  </si>
  <si>
    <t>Avanza</t>
  </si>
  <si>
    <t>Brokerage income</t>
  </si>
  <si>
    <t>Net interest income</t>
  </si>
  <si>
    <t>Net result of financial transactions</t>
  </si>
  <si>
    <t>Brokerage expenses</t>
  </si>
  <si>
    <t>Net brokerage income</t>
  </si>
  <si>
    <t>Trading days</t>
  </si>
  <si>
    <t>Number of customers, thousands</t>
  </si>
  <si>
    <t>Yield</t>
  </si>
  <si>
    <t>N.A.</t>
  </si>
  <si>
    <t>Price / BV</t>
  </si>
  <si>
    <t>CAGR</t>
  </si>
  <si>
    <t>Annual data</t>
  </si>
  <si>
    <t>Quarterly data</t>
  </si>
  <si>
    <t>Operating margin</t>
  </si>
  <si>
    <t>Tax rate</t>
  </si>
  <si>
    <t>Q4/02</t>
  </si>
  <si>
    <t>Other operating income</t>
  </si>
  <si>
    <t>NEG.</t>
  </si>
  <si>
    <t>Q4/00</t>
  </si>
  <si>
    <t>Annualised interest rate on deposits</t>
  </si>
  <si>
    <t>P/E, based on historical rolling 12-month profits</t>
  </si>
  <si>
    <t>Price / Savings capital</t>
  </si>
  <si>
    <t>Q3/07</t>
  </si>
  <si>
    <t>-</t>
  </si>
  <si>
    <t>Q4/07</t>
  </si>
  <si>
    <t>Q1/08</t>
  </si>
  <si>
    <t>Q2/08</t>
  </si>
  <si>
    <t>Q3/08</t>
  </si>
  <si>
    <t>Q4/08</t>
  </si>
  <si>
    <t>Q1/09</t>
  </si>
  <si>
    <t>Q2/09</t>
  </si>
  <si>
    <t>Q3/09</t>
  </si>
  <si>
    <t>Q4/09</t>
  </si>
  <si>
    <t>Q1/10</t>
  </si>
  <si>
    <t>Q2/10</t>
  </si>
  <si>
    <t>Q3/10</t>
  </si>
  <si>
    <t>Q4/10</t>
  </si>
  <si>
    <t>Q1/11</t>
  </si>
  <si>
    <t>Q2/11</t>
  </si>
  <si>
    <t>Q3/11</t>
  </si>
  <si>
    <t>Q4/11</t>
  </si>
  <si>
    <t>Q1/12</t>
  </si>
  <si>
    <t>Q2/12</t>
  </si>
  <si>
    <t>Q3/12</t>
  </si>
  <si>
    <t>Q4/12</t>
  </si>
  <si>
    <t>Q1/13</t>
  </si>
  <si>
    <t>Q2/13</t>
  </si>
  <si>
    <t>Q3/13</t>
  </si>
  <si>
    <t>Q4/13</t>
  </si>
  <si>
    <t>Q1/14</t>
  </si>
  <si>
    <t>Annualised income per customer, SEK</t>
  </si>
  <si>
    <t>Annualised expenses per customer, SEK</t>
  </si>
  <si>
    <t>Annualised operating profit per customer, SEK</t>
  </si>
  <si>
    <t>Q2/14</t>
  </si>
  <si>
    <t>Q3/14</t>
  </si>
  <si>
    <t>Q4/14</t>
  </si>
  <si>
    <t>Q1/15</t>
  </si>
  <si>
    <t>P&amp;L, SEK m</t>
  </si>
  <si>
    <t>Savings capital per customer, SEK m</t>
  </si>
  <si>
    <t>Annualised income per employee, SEK m</t>
  </si>
  <si>
    <t>Annualised expenses per employee, SEK m</t>
  </si>
  <si>
    <t>Annualised operating profit per employee, SEK m</t>
  </si>
  <si>
    <t>Market capitalisation, SEK m</t>
  </si>
  <si>
    <t>Q2/15</t>
  </si>
  <si>
    <t>Total operating income</t>
  </si>
  <si>
    <t>Operating profit before credit losses</t>
  </si>
  <si>
    <t>Credit losses, net</t>
  </si>
  <si>
    <t>Cost / income ratio</t>
  </si>
  <si>
    <t>Q3/15</t>
  </si>
  <si>
    <t>Q4/15</t>
  </si>
  <si>
    <t>Interest expenses</t>
  </si>
  <si>
    <t>Q1/16</t>
  </si>
  <si>
    <t>Avanza takes no responsibility if any figures are incorrect.
This Excel-file is available on avanza.se/keydata</t>
  </si>
  <si>
    <t>Q2/16</t>
  </si>
  <si>
    <t>Q3/16</t>
  </si>
  <si>
    <t>Q4/16</t>
  </si>
  <si>
    <t>Q1/17</t>
  </si>
  <si>
    <t>Q2/17</t>
  </si>
  <si>
    <t>Q3/17</t>
  </si>
  <si>
    <t>Total turnover, SEK m</t>
  </si>
  <si>
    <t>Q4/17</t>
  </si>
  <si>
    <t>Q1/18</t>
  </si>
  <si>
    <t>Q2/18</t>
  </si>
  <si>
    <t>Credit losses / Internally financed lending</t>
  </si>
  <si>
    <t>Net brokerage income per trading day, SEK m</t>
  </si>
  <si>
    <t>Avanza Markets income</t>
  </si>
  <si>
    <t>Corporate Finance income</t>
  </si>
  <si>
    <t>Personnel</t>
  </si>
  <si>
    <t>Marketing</t>
  </si>
  <si>
    <t>Other expenses</t>
  </si>
  <si>
    <t>Annualised interest rate on internally financed lending</t>
  </si>
  <si>
    <t>Number of employees (FTEs)</t>
  </si>
  <si>
    <t>Average number of employees (FTEs)</t>
  </si>
  <si>
    <t>Profit margin</t>
  </si>
  <si>
    <t>OTHER FINANCIAL DATA</t>
  </si>
  <si>
    <t>CUSTOMER DATA</t>
  </si>
  <si>
    <t>SAVINGS CAPITAL DISTRIBUTION</t>
  </si>
  <si>
    <t>TRADING DATA</t>
  </si>
  <si>
    <t>EMPLOYEE DATA</t>
  </si>
  <si>
    <t>SHARE DATA</t>
  </si>
  <si>
    <t>MARKET SHARES</t>
  </si>
  <si>
    <t>NOTES</t>
  </si>
  <si>
    <t>KEY RATIOS - DEPOSITS AND LENDING</t>
  </si>
  <si>
    <t>Number of new customers (net), thousands</t>
  </si>
  <si>
    <t>INCOME AND COSTS PER SAVINGS CAPITAL (ANNUALISED)</t>
  </si>
  <si>
    <t>Number of transactions, Nasdaq Stockholm, &amp; First North, market share</t>
  </si>
  <si>
    <t>Turnover, Nasdaq Stockholm &amp; First North, market share</t>
  </si>
  <si>
    <t>INCOME AND COSTS PER SAVINGS CAPITAL</t>
  </si>
  <si>
    <t>Q3/18</t>
  </si>
  <si>
    <t>Q4/18</t>
  </si>
  <si>
    <t>Profit/loss from participations in associated companies</t>
  </si>
  <si>
    <t>Q1/19</t>
  </si>
  <si>
    <t>Q2/19</t>
  </si>
  <si>
    <t>Q3/19</t>
  </si>
  <si>
    <t>Q4/19</t>
  </si>
  <si>
    <t>Q1/20</t>
  </si>
  <si>
    <t>Q2/20</t>
  </si>
  <si>
    <t>Q3/20</t>
  </si>
  <si>
    <t>Q4/20</t>
  </si>
  <si>
    <t>Adjusted operating profit</t>
  </si>
  <si>
    <t>Taxes</t>
  </si>
  <si>
    <t>Q1/21</t>
  </si>
  <si>
    <t xml:space="preserve">   of which foreign trading, SEK m</t>
  </si>
  <si>
    <t>Profit for the period</t>
  </si>
  <si>
    <t>Total other income, net</t>
  </si>
  <si>
    <t>SAVINGS CAPITAL DISTRIBUTION, SEK m</t>
  </si>
  <si>
    <t>Equities, bonds, derivatives etc</t>
  </si>
  <si>
    <t>Fund capital</t>
  </si>
  <si>
    <t>Deposits</t>
  </si>
  <si>
    <t xml:space="preserve">   of which, external deposit accounts</t>
  </si>
  <si>
    <t xml:space="preserve">   of which, client fund accounts</t>
  </si>
  <si>
    <t xml:space="preserve">   of which Pension &amp; insurance savings capital</t>
  </si>
  <si>
    <t xml:space="preserve">        of which Endowment insurance</t>
  </si>
  <si>
    <t xml:space="preserve">        of which Occupational pensions</t>
  </si>
  <si>
    <t>SAVINGS CAPITAL PER CUSTOMER TYPE, SEK m</t>
  </si>
  <si>
    <t>Standard offer</t>
  </si>
  <si>
    <t>Private Banking</t>
  </si>
  <si>
    <t>Pro</t>
  </si>
  <si>
    <t>LENDING, SEK m</t>
  </si>
  <si>
    <t>Internally financed lending</t>
  </si>
  <si>
    <t>External mortgage loans (Bolån+)</t>
  </si>
  <si>
    <t xml:space="preserve">   of which margin lending</t>
  </si>
  <si>
    <t>Cost/income ratio</t>
  </si>
  <si>
    <t>Deposits/Savings capital</t>
  </si>
  <si>
    <t>Credit losses/Internally financed lending</t>
  </si>
  <si>
    <t>Total operating income/Savings capital</t>
  </si>
  <si>
    <t>Total operating expenses/Savings capital</t>
  </si>
  <si>
    <t>Operating profit/Savings capital</t>
  </si>
  <si>
    <t>Price/BV</t>
  </si>
  <si>
    <t>Price/Savings capital</t>
  </si>
  <si>
    <t>Brokerage-generating turnover/trading day, SEK m</t>
  </si>
  <si>
    <t>Number of brokerage-generating notes/trading day</t>
  </si>
  <si>
    <t>Number of brokerage-generating notes per customer</t>
  </si>
  <si>
    <t>Brokerage income/Turnover in brokerage-generating securities</t>
  </si>
  <si>
    <t>FINANCIAL DATA</t>
  </si>
  <si>
    <t>Net inflow on the Swedish savings market, SEK m</t>
  </si>
  <si>
    <t>Total savings capital on the Swedish savings market, SEK m</t>
  </si>
  <si>
    <t xml:space="preserve">   Avanza market share</t>
  </si>
  <si>
    <t>Premiums paid to the Swedish life and insurance market, SEK m</t>
  </si>
  <si>
    <t xml:space="preserve">   Avanza market share rolling 12-month</t>
  </si>
  <si>
    <t>Non transaction-related income</t>
  </si>
  <si>
    <t>Fund commissions, net</t>
  </si>
  <si>
    <t>Total non transaction-related income, net</t>
  </si>
  <si>
    <t>Interest income</t>
  </si>
  <si>
    <t>Other commission income</t>
  </si>
  <si>
    <t>Other commission expenses</t>
  </si>
  <si>
    <t>Total operating expenses before credit losses</t>
  </si>
  <si>
    <t>Operating profit</t>
  </si>
  <si>
    <t>Savings capital, total</t>
  </si>
  <si>
    <t>Lending, total</t>
  </si>
  <si>
    <t>Premiums paid for non-collective agreement occupational pension insurance, SEK m</t>
  </si>
  <si>
    <t xml:space="preserve">CET 1 ratio, consolidated situation </t>
  </si>
  <si>
    <t>Capital ratio, consolidated situation</t>
  </si>
  <si>
    <t>NET INFLOW, SEK m</t>
  </si>
  <si>
    <t>Net inflow, total</t>
  </si>
  <si>
    <t>Deposits / Savings capital</t>
  </si>
  <si>
    <t>N.A</t>
  </si>
  <si>
    <r>
      <t>Other commission income, net</t>
    </r>
    <r>
      <rPr>
        <i/>
        <vertAlign val="superscript"/>
        <sz val="10"/>
        <rFont val="Roboto"/>
      </rPr>
      <t>1</t>
    </r>
  </si>
  <si>
    <r>
      <t>Earnings per share, SEK</t>
    </r>
    <r>
      <rPr>
        <vertAlign val="superscript"/>
        <sz val="10"/>
        <rFont val="Roboto"/>
      </rPr>
      <t>2</t>
    </r>
  </si>
  <si>
    <r>
      <t>Earnings per share after dilution, SEK</t>
    </r>
    <r>
      <rPr>
        <vertAlign val="superscript"/>
        <sz val="10"/>
        <rFont val="Roboto"/>
      </rPr>
      <t>2</t>
    </r>
  </si>
  <si>
    <r>
      <t>Leverage ratio, consolidated situation</t>
    </r>
    <r>
      <rPr>
        <vertAlign val="superscript"/>
        <sz val="10"/>
        <rFont val="Roboto"/>
      </rPr>
      <t>3</t>
    </r>
  </si>
  <si>
    <r>
      <t>Capital ratio, financial conglomerate</t>
    </r>
    <r>
      <rPr>
        <vertAlign val="superscript"/>
        <sz val="10"/>
        <rFont val="Roboto"/>
      </rPr>
      <t>4</t>
    </r>
  </si>
  <si>
    <r>
      <t>Share price at end of period, SEK</t>
    </r>
    <r>
      <rPr>
        <vertAlign val="superscript"/>
        <sz val="10"/>
        <rFont val="Roboto"/>
      </rPr>
      <t>2</t>
    </r>
  </si>
  <si>
    <r>
      <t>Number of outstanding shares</t>
    </r>
    <r>
      <rPr>
        <vertAlign val="superscript"/>
        <sz val="10"/>
        <rFont val="Roboto"/>
      </rPr>
      <t>2</t>
    </r>
  </si>
  <si>
    <r>
      <t>Average number of shares</t>
    </r>
    <r>
      <rPr>
        <vertAlign val="superscript"/>
        <sz val="10"/>
        <rFont val="Roboto"/>
      </rPr>
      <t>2</t>
    </r>
  </si>
  <si>
    <r>
      <t>Diluted average number of shares</t>
    </r>
    <r>
      <rPr>
        <vertAlign val="superscript"/>
        <sz val="10"/>
        <rFont val="Roboto"/>
      </rPr>
      <t>2</t>
    </r>
  </si>
  <si>
    <r>
      <rPr>
        <vertAlign val="superscript"/>
        <sz val="10"/>
        <rFont val="Roboto"/>
      </rPr>
      <t>2</t>
    </r>
    <r>
      <rPr>
        <sz val="10"/>
        <rFont val="Roboto"/>
      </rPr>
      <t xml:space="preserve"> Updated according to the share split in April 2019.</t>
    </r>
  </si>
  <si>
    <r>
      <t>Earnings per share before dilution, SEK</t>
    </r>
    <r>
      <rPr>
        <vertAlign val="superscript"/>
        <sz val="10"/>
        <rFont val="Roboto"/>
      </rPr>
      <t>2</t>
    </r>
  </si>
  <si>
    <t>Currency-related income, net</t>
  </si>
  <si>
    <t>Purely transaction-related income</t>
  </si>
  <si>
    <t>Total purely transaction-related income, net</t>
  </si>
  <si>
    <t>Premiums paid to the Swedish life and insurance market rolling 12-month, SEK m</t>
  </si>
  <si>
    <t>CET 1 ratio, consolidated situation</t>
  </si>
  <si>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</si>
  <si>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r>
      <t>4</t>
    </r>
    <r>
      <rPr>
        <sz val="10"/>
        <rFont val="Roboto"/>
      </rPr>
      <t xml:space="preserve"> Q3/15 and earlier have not been adjusted to new Solvency 2 rules that took effect on 01-01-2016. Avanza's financial conglomerate refers to Avanza Bank Holding AB (publ) and all of its subsidiary companies Avanza Bank AB (publ), Försäkringsaktiebolaget Avanza Pension, Avanza Fonder AB, Placera Media Stockholm AB and Avanza Förvaltning AB. </t>
    </r>
  </si>
  <si>
    <t>Average daily active users, thousands</t>
  </si>
  <si>
    <t>Internally financed lending/internal deposits</t>
  </si>
  <si>
    <t>Q2/21</t>
  </si>
  <si>
    <r>
      <rPr>
        <vertAlign val="superscript"/>
        <sz val="10"/>
        <rFont val="Roboto"/>
      </rPr>
      <t>1</t>
    </r>
    <r>
      <rPr>
        <sz val="10"/>
        <rFont val="Roboto"/>
      </rPr>
      <t xml:space="preserve"> Net currency-related income has been separated from Other income. Figures as of 2016 have been adjusted.</t>
    </r>
  </si>
  <si>
    <t>Q3/21</t>
  </si>
  <si>
    <t>Q4/21</t>
  </si>
  <si>
    <t xml:space="preserve">   of which mortgage loans</t>
  </si>
  <si>
    <t>Q1/22</t>
  </si>
  <si>
    <t>Q2/22</t>
  </si>
  <si>
    <t>Q3/22</t>
  </si>
  <si>
    <t>Q4/22</t>
  </si>
  <si>
    <r>
      <t>Dividend per share, SEK</t>
    </r>
    <r>
      <rPr>
        <vertAlign val="superscript"/>
        <sz val="10"/>
        <rFont val="Roboto"/>
      </rPr>
      <t>2</t>
    </r>
  </si>
  <si>
    <t>Q1/23</t>
  </si>
  <si>
    <r>
      <t>3</t>
    </r>
    <r>
      <rPr>
        <sz val="10"/>
        <rFont val="Roboto"/>
      </rPr>
      <t xml:space="preserve"> Regulatory requirement of a leverage ratio of 3 per cent took effect at mid-year 2021. Avanza’s consolidated situation refers to Avanza Bank Holding AB (publ) and the subsidiaries Avanza Bank AB (publ) and Avanza Fonder AB.</t>
    </r>
  </si>
  <si>
    <r>
      <t>Total number of commission notes</t>
    </r>
    <r>
      <rPr>
        <vertAlign val="superscript"/>
        <sz val="10"/>
        <rFont val="Roboto"/>
      </rPr>
      <t>5</t>
    </r>
  </si>
  <si>
    <r>
      <t xml:space="preserve">  of which brokerage-generating notes</t>
    </r>
    <r>
      <rPr>
        <vertAlign val="superscript"/>
        <sz val="10"/>
        <rFont val="Roboto"/>
      </rPr>
      <t>6</t>
    </r>
  </si>
  <si>
    <r>
      <t xml:space="preserve"> of which turnover in brokerage-generating securities, SEK m</t>
    </r>
    <r>
      <rPr>
        <vertAlign val="superscript"/>
        <sz val="10"/>
        <rFont val="Roboto"/>
      </rPr>
      <t>7</t>
    </r>
  </si>
  <si>
    <r>
      <t>Fund commissions net/Fund capital</t>
    </r>
    <r>
      <rPr>
        <vertAlign val="superscript"/>
        <sz val="10"/>
        <rFont val="Roboto"/>
      </rPr>
      <t>8</t>
    </r>
  </si>
  <si>
    <r>
      <rPr>
        <vertAlign val="superscript"/>
        <sz val="10"/>
        <rFont val="Roboto"/>
      </rPr>
      <t>6</t>
    </r>
    <r>
      <rPr>
        <sz val="10"/>
        <rFont val="Roboto"/>
      </rPr>
      <t xml:space="preserve"> Excluding commission notes and turnover for mutual funds and non-brokerage generating notes such as Avanza Markets and brokerage class Start. From Q1/2023, commssion notes from institutional customers are included. </t>
    </r>
  </si>
  <si>
    <r>
      <t>5</t>
    </r>
    <r>
      <rPr>
        <sz val="10"/>
        <rFont val="Roboto"/>
      </rPr>
      <t xml:space="preserve"> Data before and after Q2/22 are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</si>
  <si>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Q1/23, non-brokerage generating turnover in brokerage class Start is also excluded.</t>
    </r>
  </si>
  <si>
    <r>
      <rPr>
        <vertAlign val="superscript"/>
        <sz val="10"/>
        <rFont val="Roboto"/>
      </rPr>
      <t xml:space="preserve">8 </t>
    </r>
    <r>
      <rPr>
        <sz val="10"/>
        <rFont val="Roboto"/>
      </rPr>
      <t>Calculated on average fund volumes per day from 2019.</t>
    </r>
  </si>
  <si>
    <r>
      <t>5</t>
    </r>
    <r>
      <rPr>
        <sz val="10"/>
        <rFont val="Roboto"/>
      </rPr>
      <t xml:space="preserve"> Data before and after 2022 is not directly comparable as a consequence of Avanza's new backoffice-system registering commission notes differently. Internal transactions are deducted and partial trades are aggregated to a higher extent. </t>
    </r>
  </si>
  <si>
    <r>
      <rPr>
        <vertAlign val="superscript"/>
        <sz val="10"/>
        <rFont val="Roboto"/>
      </rPr>
      <t>7</t>
    </r>
    <r>
      <rPr>
        <sz val="10"/>
        <rFont val="Roboto"/>
      </rPr>
      <t xml:space="preserve"> Excluding turnover in mutual funds and non-brokerage generating notes such as Avanza Markets. From 2023, non-brokerage generating turnover in brokerage class Start is also excluded.</t>
    </r>
  </si>
  <si>
    <r>
      <t xml:space="preserve">10 </t>
    </r>
    <r>
      <rPr>
        <sz val="10"/>
        <rFont val="Roboto"/>
      </rPr>
      <t>The occupational pension market can be divided into traditional life and unit-linked insurance. Unit linked amounts for about a third, of which Avanza is active in the portion outside collectively agreed occupational pensions.</t>
    </r>
  </si>
  <si>
    <r>
      <t>Total savings capital in non-collective agreement ocupational pension insurance, SEK m</t>
    </r>
    <r>
      <rPr>
        <vertAlign val="superscript"/>
        <sz val="10"/>
        <rFont val="Roboto"/>
      </rPr>
      <t>10</t>
    </r>
  </si>
  <si>
    <r>
      <rPr>
        <vertAlign val="superscript"/>
        <sz val="10"/>
        <rFont val="Roboto"/>
      </rPr>
      <t>6</t>
    </r>
    <r>
      <rPr>
        <sz val="10"/>
        <rFont val="Roboto"/>
      </rPr>
      <t xml:space="preserve"> Excluding commission notes and turnover for mutual funds and non-brokerage generating notes such as Avanza Markets and brokerage class Start. From 2023, commission notes from institutional customers are included. </t>
    </r>
  </si>
  <si>
    <r>
      <rPr>
        <vertAlign val="superscript"/>
        <sz val="10"/>
        <rFont val="Roboto"/>
      </rPr>
      <t>9</t>
    </r>
    <r>
      <rPr>
        <sz val="10"/>
        <rFont val="Roboto"/>
      </rPr>
      <t xml:space="preserve"> The calculation of Avanza's market share of the net inflow to the Swedish savings market was reviewed and changed in 2022. Historical figures have been adjusted. As a result, Avanza's market share of the inflow to the Swedish savings market is on average slightly lower than reported in previous versions of Key Data. </t>
    </r>
  </si>
  <si>
    <t>Q2/23</t>
  </si>
  <si>
    <t>Depreciation, amortisation and impairment</t>
  </si>
  <si>
    <t>Q3/23</t>
  </si>
  <si>
    <t>Q4/23</t>
  </si>
  <si>
    <t>Return on shareholders' equity</t>
  </si>
  <si>
    <t>Return on shareholders' equity (annualised)</t>
  </si>
  <si>
    <t>Shareholders' equity, SEK m</t>
  </si>
  <si>
    <t>Q1/24</t>
  </si>
  <si>
    <t>Q2/24</t>
  </si>
  <si>
    <t>Q3/24</t>
  </si>
  <si>
    <r>
      <t>Net inflow on the Swedish savings market, SEK m</t>
    </r>
    <r>
      <rPr>
        <vertAlign val="superscript"/>
        <sz val="10"/>
        <rFont val="Roboto"/>
      </rPr>
      <t>9</t>
    </r>
  </si>
  <si>
    <r>
      <t xml:space="preserve">   Avanza market share</t>
    </r>
    <r>
      <rPr>
        <vertAlign val="superscript"/>
        <sz val="10"/>
        <rFont val="Roboto"/>
      </rPr>
      <t>10</t>
    </r>
  </si>
  <si>
    <r>
      <t xml:space="preserve">   Avanza market share rolling 12-month</t>
    </r>
    <r>
      <rPr>
        <vertAlign val="superscript"/>
        <sz val="10"/>
        <rFont val="Roboto"/>
      </rPr>
      <t>10</t>
    </r>
  </si>
  <si>
    <r>
      <rPr>
        <vertAlign val="superscript"/>
        <sz val="10"/>
        <rFont val="Roboto"/>
      </rPr>
      <t>10</t>
    </r>
    <r>
      <rPr>
        <sz val="10"/>
        <rFont val="Roboto"/>
      </rPr>
      <t xml:space="preserve"> The calculation of Avanza's market share of the net inflow to the Swedish savings market was reviewed and changed in Q2/22. Historical figures have been adjusted. As a result, Avanza's market share of the inflow to the Swedish savings market is on average slightly lower than reported in previous versions of KeyData. </t>
    </r>
  </si>
  <si>
    <r>
      <t>Total savings capital on the Swedish savings market, SEK m</t>
    </r>
    <r>
      <rPr>
        <vertAlign val="superscript"/>
        <sz val="10"/>
        <rFont val="Roboto"/>
      </rPr>
      <t>9</t>
    </r>
  </si>
  <si>
    <t>Q4/24</t>
  </si>
  <si>
    <t>Avanza - Annual Key Data 2001-2024</t>
  </si>
  <si>
    <t>2020-2024</t>
  </si>
  <si>
    <t>Updated 2024-01-21</t>
  </si>
  <si>
    <t>After September</t>
  </si>
  <si>
    <t>Q1/25</t>
  </si>
  <si>
    <t>Avanza - Quarterly Key Data 2001-2025</t>
  </si>
  <si>
    <r>
      <t>Premiums paid for non-collective agreement occupational pension in unit-linked insurance rolling 12-month, SEK m</t>
    </r>
    <r>
      <rPr>
        <vertAlign val="superscript"/>
        <sz val="10"/>
        <rFont val="Roboto"/>
      </rPr>
      <t>11</t>
    </r>
  </si>
  <si>
    <r>
      <rPr>
        <vertAlign val="superscript"/>
        <sz val="10"/>
        <rFont val="Roboto"/>
      </rPr>
      <t>11</t>
    </r>
    <r>
      <rPr>
        <sz val="10"/>
        <rFont val="Roboto"/>
      </rPr>
      <t xml:space="preserve"> Defined contribution traditional insurance is excluded from previously reported figures, in accordance with Avanza’s strategic priority. The entire time series has been adjusted.</t>
    </r>
  </si>
  <si>
    <r>
      <rPr>
        <vertAlign val="superscript"/>
        <sz val="10"/>
        <rFont val="Roboto"/>
      </rPr>
      <t>9</t>
    </r>
    <r>
      <rPr>
        <vertAlign val="subscript"/>
        <sz val="10"/>
        <rFont val="Roboto"/>
      </rPr>
      <t xml:space="preserve"> </t>
    </r>
    <r>
      <rPr>
        <sz val="10"/>
        <rFont val="Roboto"/>
      </rPr>
      <t>SCB has revised the statistics for the entire time series in Q3 2024, with additional adjustments in Q4 2024 and Q1 2025. As a result, historical figures have been updated.</t>
    </r>
  </si>
  <si>
    <t>Updated 2025-05-19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</si>
</sst>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0.0"/>
    <numFmt numFmtId="165" formatCode="#,##0.000"/>
    <numFmt numFmtId="166" formatCode="0.0%"/>
    <numFmt numFmtId="167" formatCode="0.000%"/>
    <numFmt numFmtId="168" formatCode="#,##0.0000"/>
    <numFmt numFmtId="169" formatCode="#,##0.000000"/>
    <numFmt numFmtId="170" formatCode="0.0"/>
    <numFmt numFmtId="171" formatCode="00"/>
    <numFmt numFmtId="172" formatCode="#,##0.0000000"/>
    <numFmt numFmtId="173" formatCode="#,##0.00000000000000"/>
  </numFmts>
  <fonts count="35" x14ac:knownFonts="1">
    <font>
      <sz val="10"/>
      <name val="Arial"/>
    </font>
    <font>
      <sz val="11"/>
      <color theme="1"/>
      <name val="Roboto"/>
      <family val="2"/>
      <scheme val="minor"/>
    </font>
    <font>
      <sz val="11"/>
      <color theme="1"/>
      <name val="Roboto"/>
      <family val="2"/>
      <scheme val="minor"/>
    </font>
    <font>
      <sz val="10"/>
      <name val="Arial"/>
      <family val="2"/>
    </font>
    <font>
      <sz val="10"/>
      <color indexed="10"/>
      <name val="Roboto"/>
    </font>
    <font>
      <sz val="10"/>
      <name val="Roboto"/>
    </font>
    <font>
      <sz val="8"/>
      <name val="Roboto"/>
    </font>
    <font>
      <b/>
      <sz val="10"/>
      <name val="Roboto"/>
    </font>
    <font>
      <b/>
      <sz val="10"/>
      <color indexed="10"/>
      <name val="Roboto"/>
    </font>
    <font>
      <vertAlign val="superscript"/>
      <sz val="10"/>
      <name val="Roboto"/>
    </font>
    <font>
      <u/>
      <sz val="10"/>
      <name val="Roboto"/>
    </font>
    <font>
      <u/>
      <sz val="10"/>
      <color indexed="10"/>
      <name val="Roboto"/>
    </font>
    <font>
      <sz val="9"/>
      <color indexed="81"/>
      <name val="Tahoma"/>
      <family val="2"/>
    </font>
    <font>
      <sz val="11"/>
      <color theme="1"/>
      <name val="Roboto"/>
      <family val="2"/>
      <scheme val="minor"/>
    </font>
    <font>
      <sz val="10"/>
      <color rgb="FFFF0000"/>
      <name val="Roboto"/>
    </font>
    <font>
      <b/>
      <sz val="10"/>
      <color rgb="FFFF0000"/>
      <name val="Roboto"/>
    </font>
    <font>
      <b/>
      <sz val="10"/>
      <color rgb="FFFFFFFF"/>
      <name val="Roboto"/>
    </font>
    <font>
      <sz val="10"/>
      <color rgb="FFFFFFFF"/>
      <name val="Roboto"/>
    </font>
    <font>
      <b/>
      <sz val="10"/>
      <color theme="4"/>
      <name val="Roboto"/>
    </font>
    <font>
      <b/>
      <sz val="11"/>
      <color theme="4"/>
      <name val="Roboto Avanza Slab"/>
      <scheme val="major"/>
    </font>
    <font>
      <i/>
      <sz val="10"/>
      <name val="Roboto"/>
    </font>
    <font>
      <i/>
      <sz val="10"/>
      <color indexed="10"/>
      <name val="Roboto"/>
    </font>
    <font>
      <i/>
      <sz val="10"/>
      <name val="Arial"/>
      <family val="2"/>
    </font>
    <font>
      <sz val="10"/>
      <color theme="5"/>
      <name val="Roboto"/>
    </font>
    <font>
      <b/>
      <sz val="10"/>
      <color theme="5"/>
      <name val="Roboto"/>
    </font>
    <font>
      <b/>
      <i/>
      <sz val="10"/>
      <color theme="4"/>
      <name val="Roboto"/>
    </font>
    <font>
      <b/>
      <sz val="10"/>
      <name val="Arial"/>
      <family val="2"/>
    </font>
    <font>
      <sz val="10"/>
      <color theme="5"/>
      <name val="Arial"/>
      <family val="2"/>
    </font>
    <font>
      <b/>
      <sz val="10"/>
      <color theme="0"/>
      <name val="Roboto"/>
    </font>
    <font>
      <i/>
      <vertAlign val="superscript"/>
      <sz val="10"/>
      <name val="Roboto"/>
    </font>
    <font>
      <sz val="12"/>
      <name val="Tms Rmn"/>
    </font>
    <font>
      <sz val="8"/>
      <color theme="1"/>
      <name val="Roboto"/>
    </font>
    <font>
      <i/>
      <sz val="10"/>
      <color rgb="FFFF0000"/>
      <name val="Roboto"/>
    </font>
    <font>
      <sz val="9"/>
      <color indexed="81"/>
      <name val="Roboto"/>
      <scheme val="minor"/>
    </font>
    <font>
      <vertAlign val="subscript"/>
      <sz val="10"/>
      <name val="Roboto"/>
    </font>
  </fonts>
  <fills count="4">
    <fill>
      <patternFill patternType="none"/>
    </fill>
    <fill>
      <patternFill patternType="gray125"/>
    </fill>
    <fill>
      <patternFill patternType="solid">
        <fgColor theme="4"/>
        <bgColor indexed="64"/>
      </patternFill>
    </fill>
    <fill>
      <patternFill patternType="solid">
        <fgColor rgb="FFFFFF00"/>
        <bgColor indexed="64"/>
      </patternFill>
    </fill>
  </fills>
  <borders count="61">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s>
  <cellStyleXfs count="13">
    <xf numFmtId="0" fontId="0" fillId="0" borderId="0"/>
    <xf numFmtId="0" fontId="13" fillId="0" borderId="0"/>
    <xf numFmtId="9" fontId="3" fillId="0" borderId="0" applyFont="0" applyFill="0" applyBorder="0" applyAlignment="0" applyProtection="0"/>
    <xf numFmtId="0" fontId="3" fillId="0" borderId="0"/>
    <xf numFmtId="171" fontId="30" fillId="0" borderId="0"/>
    <xf numFmtId="0" fontId="2" fillId="0" borderId="0"/>
    <xf numFmtId="9" fontId="2" fillId="0" borderId="0" applyFont="0" applyFill="0" applyBorder="0" applyAlignment="0" applyProtection="0"/>
    <xf numFmtId="0" fontId="1" fillId="0" borderId="0"/>
    <xf numFmtId="0" fontId="3" fillId="0" borderId="0"/>
    <xf numFmtId="0" fontId="1" fillId="0" borderId="0"/>
    <xf numFmtId="9" fontId="3" fillId="0" borderId="0" applyFont="0" applyFill="0" applyBorder="0" applyAlignment="0" applyProtection="0"/>
    <xf numFmtId="0" fontId="1" fillId="0" borderId="0"/>
    <xf numFmtId="9" fontId="1" fillId="0" borderId="0" applyFont="0" applyFill="0" applyBorder="0" applyAlignment="0" applyProtection="0"/>
  </cellStyleXfs>
  <cellXfs count="410">
    <xf numFmtId="0" fontId="0" fillId="0" borderId="0" xfId="0"/>
    <xf numFmtId="0" fontId="5" fillId="0" borderId="0" xfId="0" applyFont="1" applyAlignment="1">
      <alignment horizontal="right"/>
    </xf>
    <xf numFmtId="0" fontId="5" fillId="0" borderId="0" xfId="0" applyFont="1"/>
    <xf numFmtId="0" fontId="6" fillId="0" borderId="0" xfId="0" applyFont="1" applyAlignment="1">
      <alignment vertical="top" wrapText="1"/>
    </xf>
    <xf numFmtId="3" fontId="5" fillId="0" borderId="0" xfId="0" applyNumberFormat="1" applyFont="1" applyAlignment="1">
      <alignment horizontal="right"/>
    </xf>
    <xf numFmtId="0" fontId="7" fillId="0" borderId="1" xfId="0" applyFont="1" applyBorder="1"/>
    <xf numFmtId="0" fontId="5" fillId="0" borderId="3" xfId="0" applyFont="1" applyBorder="1"/>
    <xf numFmtId="0" fontId="5" fillId="0" borderId="4" xfId="0" applyFont="1" applyBorder="1"/>
    <xf numFmtId="0" fontId="7" fillId="0" borderId="6" xfId="0" applyFont="1" applyBorder="1" applyAlignment="1">
      <alignment horizontal="right"/>
    </xf>
    <xf numFmtId="0" fontId="7" fillId="0" borderId="8" xfId="0" applyFont="1" applyBorder="1" applyAlignment="1">
      <alignment horizontal="right"/>
    </xf>
    <xf numFmtId="0" fontId="7" fillId="0" borderId="9" xfId="0" applyFont="1" applyBorder="1" applyAlignment="1">
      <alignment horizontal="right"/>
    </xf>
    <xf numFmtId="0" fontId="7" fillId="0" borderId="12" xfId="0" applyFont="1" applyBorder="1" applyAlignment="1">
      <alignment horizontal="right"/>
    </xf>
    <xf numFmtId="0" fontId="7" fillId="0" borderId="14" xfId="0" applyFont="1" applyBorder="1" applyAlignment="1">
      <alignment horizontal="right"/>
    </xf>
    <xf numFmtId="0" fontId="7" fillId="0" borderId="15" xfId="0" applyFont="1" applyBorder="1" applyAlignment="1">
      <alignment horizontal="right"/>
    </xf>
    <xf numFmtId="3" fontId="5" fillId="0" borderId="8" xfId="0" applyNumberFormat="1" applyFont="1" applyBorder="1" applyAlignment="1">
      <alignment horizontal="right"/>
    </xf>
    <xf numFmtId="3" fontId="5" fillId="0" borderId="9" xfId="0" applyNumberFormat="1" applyFont="1" applyBorder="1" applyAlignment="1">
      <alignment horizontal="right"/>
    </xf>
    <xf numFmtId="3" fontId="5" fillId="0" borderId="18" xfId="0" applyNumberFormat="1" applyFont="1" applyBorder="1" applyAlignment="1">
      <alignment horizontal="right"/>
    </xf>
    <xf numFmtId="3" fontId="5" fillId="0" borderId="13" xfId="0" applyNumberFormat="1" applyFont="1" applyBorder="1" applyAlignment="1">
      <alignment horizontal="right"/>
    </xf>
    <xf numFmtId="0" fontId="5" fillId="0" borderId="19" xfId="0" applyFont="1" applyBorder="1"/>
    <xf numFmtId="3" fontId="5" fillId="0" borderId="21" xfId="0" applyNumberFormat="1" applyFont="1" applyBorder="1" applyAlignment="1">
      <alignment horizontal="right"/>
    </xf>
    <xf numFmtId="3" fontId="5" fillId="0" borderId="22" xfId="0" applyNumberFormat="1" applyFont="1" applyBorder="1" applyAlignment="1">
      <alignment horizontal="right"/>
    </xf>
    <xf numFmtId="3" fontId="5" fillId="0" borderId="20" xfId="0" applyNumberFormat="1" applyFont="1" applyBorder="1" applyAlignment="1">
      <alignment horizontal="right"/>
    </xf>
    <xf numFmtId="3" fontId="5" fillId="0" borderId="24" xfId="0" applyNumberFormat="1" applyFont="1" applyBorder="1" applyAlignment="1">
      <alignment horizontal="right"/>
    </xf>
    <xf numFmtId="0" fontId="5" fillId="0" borderId="26" xfId="0" applyFont="1" applyBorder="1"/>
    <xf numFmtId="3" fontId="5" fillId="0" borderId="28" xfId="0" applyNumberFormat="1" applyFont="1" applyBorder="1" applyAlignment="1">
      <alignment horizontal="right"/>
    </xf>
    <xf numFmtId="3" fontId="5" fillId="0" borderId="29" xfId="0" applyNumberFormat="1" applyFont="1" applyBorder="1" applyAlignment="1">
      <alignment horizontal="right"/>
    </xf>
    <xf numFmtId="3" fontId="5" fillId="0" borderId="31" xfId="0" applyNumberFormat="1" applyFont="1" applyBorder="1" applyAlignment="1">
      <alignment horizontal="right"/>
    </xf>
    <xf numFmtId="0" fontId="7" fillId="0" borderId="26" xfId="0" applyFont="1" applyBorder="1"/>
    <xf numFmtId="3" fontId="7" fillId="0" borderId="28" xfId="0" applyNumberFormat="1" applyFont="1" applyBorder="1" applyAlignment="1">
      <alignment horizontal="right"/>
    </xf>
    <xf numFmtId="3" fontId="7" fillId="0" borderId="30" xfId="0" applyNumberFormat="1" applyFont="1" applyBorder="1" applyAlignment="1">
      <alignment horizontal="right"/>
    </xf>
    <xf numFmtId="3" fontId="7" fillId="0" borderId="31" xfId="0" applyNumberFormat="1" applyFont="1" applyBorder="1" applyAlignment="1">
      <alignment horizontal="right"/>
    </xf>
    <xf numFmtId="3" fontId="7" fillId="0" borderId="21" xfId="0" applyNumberFormat="1" applyFont="1" applyBorder="1" applyAlignment="1">
      <alignment horizontal="right"/>
    </xf>
    <xf numFmtId="3" fontId="5" fillId="0" borderId="14" xfId="0" applyNumberFormat="1" applyFont="1" applyBorder="1" applyAlignment="1">
      <alignment horizontal="right"/>
    </xf>
    <xf numFmtId="3" fontId="5" fillId="0" borderId="15" xfId="0" applyNumberFormat="1" applyFont="1" applyBorder="1" applyAlignment="1">
      <alignment horizontal="right"/>
    </xf>
    <xf numFmtId="3" fontId="5" fillId="0" borderId="32" xfId="0" applyNumberFormat="1" applyFont="1" applyBorder="1" applyAlignment="1">
      <alignment horizontal="right"/>
    </xf>
    <xf numFmtId="3" fontId="5" fillId="0" borderId="33" xfId="0" applyNumberFormat="1" applyFont="1" applyBorder="1" applyAlignment="1">
      <alignment horizontal="right"/>
    </xf>
    <xf numFmtId="0" fontId="7" fillId="0" borderId="3" xfId="0" applyFont="1" applyBorder="1"/>
    <xf numFmtId="3" fontId="7" fillId="0" borderId="8" xfId="0" applyNumberFormat="1" applyFont="1" applyBorder="1" applyAlignment="1">
      <alignment horizontal="right"/>
    </xf>
    <xf numFmtId="3" fontId="7" fillId="0" borderId="7" xfId="0" applyNumberFormat="1" applyFont="1" applyBorder="1" applyAlignment="1">
      <alignment horizontal="right"/>
    </xf>
    <xf numFmtId="3" fontId="7" fillId="0" borderId="9" xfId="0" applyNumberFormat="1" applyFont="1" applyBorder="1" applyAlignment="1">
      <alignment horizontal="right"/>
    </xf>
    <xf numFmtId="3" fontId="7" fillId="0" borderId="35" xfId="0" applyNumberFormat="1" applyFont="1" applyBorder="1" applyAlignment="1">
      <alignment horizontal="right"/>
    </xf>
    <xf numFmtId="3" fontId="5" fillId="0" borderId="36" xfId="0" applyNumberFormat="1" applyFont="1" applyBorder="1" applyAlignment="1">
      <alignment horizontal="right"/>
    </xf>
    <xf numFmtId="3" fontId="7" fillId="0" borderId="13" xfId="0" applyNumberFormat="1" applyFont="1" applyBorder="1" applyAlignment="1">
      <alignment horizontal="right"/>
    </xf>
    <xf numFmtId="3" fontId="5" fillId="0" borderId="37" xfId="0" applyNumberFormat="1" applyFont="1" applyBorder="1" applyAlignment="1">
      <alignment horizontal="right"/>
    </xf>
    <xf numFmtId="0" fontId="5" fillId="0" borderId="38" xfId="0" applyFont="1" applyBorder="1"/>
    <xf numFmtId="3" fontId="5" fillId="0" borderId="39" xfId="0" applyNumberFormat="1" applyFont="1" applyBorder="1" applyAlignment="1">
      <alignment horizontal="right"/>
    </xf>
    <xf numFmtId="3" fontId="5" fillId="0" borderId="42" xfId="0" applyNumberFormat="1" applyFont="1" applyBorder="1" applyAlignment="1">
      <alignment horizontal="right"/>
    </xf>
    <xf numFmtId="3" fontId="7" fillId="0" borderId="18" xfId="0" applyNumberFormat="1" applyFont="1" applyBorder="1" applyAlignment="1">
      <alignment horizontal="right"/>
    </xf>
    <xf numFmtId="3" fontId="7" fillId="0" borderId="36" xfId="0" applyNumberFormat="1" applyFont="1" applyBorder="1" applyAlignment="1">
      <alignment horizontal="right"/>
    </xf>
    <xf numFmtId="164" fontId="5" fillId="0" borderId="21" xfId="0" applyNumberFormat="1" applyFont="1" applyBorder="1" applyAlignment="1">
      <alignment horizontal="right"/>
    </xf>
    <xf numFmtId="9" fontId="5" fillId="0" borderId="43" xfId="2" applyFont="1" applyFill="1" applyBorder="1" applyAlignment="1">
      <alignment horizontal="right"/>
    </xf>
    <xf numFmtId="164" fontId="5" fillId="0" borderId="28" xfId="0" applyNumberFormat="1" applyFont="1" applyBorder="1" applyAlignment="1">
      <alignment horizontal="right"/>
    </xf>
    <xf numFmtId="164" fontId="5" fillId="0" borderId="29" xfId="0" applyNumberFormat="1" applyFont="1" applyBorder="1" applyAlignment="1">
      <alignment horizontal="right"/>
    </xf>
    <xf numFmtId="164" fontId="5" fillId="0" borderId="31" xfId="0" applyNumberFormat="1" applyFont="1" applyBorder="1" applyAlignment="1">
      <alignment horizontal="right"/>
    </xf>
    <xf numFmtId="4" fontId="5" fillId="0" borderId="28" xfId="0" applyNumberFormat="1" applyFont="1" applyBorder="1" applyAlignment="1">
      <alignment horizontal="right"/>
    </xf>
    <xf numFmtId="4" fontId="5" fillId="0" borderId="31" xfId="0" applyNumberFormat="1" applyFont="1" applyBorder="1" applyAlignment="1">
      <alignment horizontal="right"/>
    </xf>
    <xf numFmtId="3" fontId="14" fillId="0" borderId="8" xfId="0" applyNumberFormat="1" applyFont="1" applyBorder="1" applyAlignment="1">
      <alignment horizontal="right"/>
    </xf>
    <xf numFmtId="4" fontId="5" fillId="0" borderId="21" xfId="0" applyNumberFormat="1" applyFont="1" applyBorder="1" applyAlignment="1">
      <alignment horizontal="right"/>
    </xf>
    <xf numFmtId="0" fontId="5" fillId="0" borderId="44" xfId="0" applyFont="1" applyBorder="1"/>
    <xf numFmtId="3" fontId="5" fillId="0" borderId="46" xfId="0" applyNumberFormat="1" applyFont="1" applyBorder="1" applyAlignment="1">
      <alignment horizontal="right"/>
    </xf>
    <xf numFmtId="3" fontId="5" fillId="0" borderId="47" xfId="0" applyNumberFormat="1" applyFont="1" applyBorder="1" applyAlignment="1">
      <alignment horizontal="right"/>
    </xf>
    <xf numFmtId="9" fontId="5" fillId="0" borderId="48" xfId="2" applyFont="1" applyFill="1" applyBorder="1" applyAlignment="1">
      <alignment horizontal="right"/>
    </xf>
    <xf numFmtId="3" fontId="14" fillId="0" borderId="9" xfId="0" applyNumberFormat="1" applyFont="1" applyBorder="1" applyAlignment="1">
      <alignment horizontal="right"/>
    </xf>
    <xf numFmtId="9" fontId="5" fillId="0" borderId="0" xfId="2" applyFont="1" applyFill="1" applyBorder="1" applyAlignment="1">
      <alignment horizontal="right"/>
    </xf>
    <xf numFmtId="0" fontId="10" fillId="0" borderId="3" xfId="0" applyFont="1" applyBorder="1"/>
    <xf numFmtId="9" fontId="5" fillId="0" borderId="28" xfId="0" applyNumberFormat="1" applyFont="1" applyBorder="1" applyAlignment="1">
      <alignment horizontal="right"/>
    </xf>
    <xf numFmtId="9" fontId="5" fillId="0" borderId="31" xfId="0" applyNumberFormat="1" applyFont="1" applyBorder="1" applyAlignment="1">
      <alignment horizontal="right"/>
    </xf>
    <xf numFmtId="166" fontId="5" fillId="0" borderId="28" xfId="0" applyNumberFormat="1" applyFont="1" applyBorder="1" applyAlignment="1">
      <alignment horizontal="right"/>
    </xf>
    <xf numFmtId="166" fontId="5" fillId="0" borderId="31" xfId="0" applyNumberFormat="1" applyFont="1" applyBorder="1" applyAlignment="1">
      <alignment horizontal="right"/>
    </xf>
    <xf numFmtId="3" fontId="5" fillId="0" borderId="43" xfId="0" applyNumberFormat="1" applyFont="1" applyBorder="1" applyAlignment="1">
      <alignment horizontal="right"/>
    </xf>
    <xf numFmtId="166" fontId="5" fillId="0" borderId="28" xfId="2" applyNumberFormat="1" applyFont="1" applyFill="1" applyBorder="1" applyAlignment="1">
      <alignment horizontal="right"/>
    </xf>
    <xf numFmtId="166" fontId="5" fillId="0" borderId="29" xfId="2" applyNumberFormat="1" applyFont="1" applyFill="1" applyBorder="1" applyAlignment="1">
      <alignment horizontal="right"/>
    </xf>
    <xf numFmtId="166" fontId="5" fillId="0" borderId="27" xfId="2" applyNumberFormat="1" applyFont="1" applyFill="1" applyBorder="1" applyAlignment="1">
      <alignment horizontal="right"/>
    </xf>
    <xf numFmtId="166" fontId="5" fillId="0" borderId="31" xfId="2" applyNumberFormat="1" applyFont="1" applyFill="1" applyBorder="1" applyAlignment="1">
      <alignment horizontal="right"/>
    </xf>
    <xf numFmtId="10" fontId="5" fillId="0" borderId="21" xfId="0" applyNumberFormat="1" applyFont="1" applyBorder="1" applyAlignment="1">
      <alignment horizontal="right"/>
    </xf>
    <xf numFmtId="10" fontId="5" fillId="0" borderId="28" xfId="0" applyNumberFormat="1" applyFont="1" applyBorder="1" applyAlignment="1">
      <alignment horizontal="right"/>
    </xf>
    <xf numFmtId="10" fontId="5" fillId="0" borderId="31" xfId="0" applyNumberFormat="1" applyFont="1" applyBorder="1" applyAlignment="1">
      <alignment horizontal="right"/>
    </xf>
    <xf numFmtId="10" fontId="5" fillId="0" borderId="46" xfId="0" applyNumberFormat="1" applyFont="1" applyBorder="1" applyAlignment="1">
      <alignment horizontal="right"/>
    </xf>
    <xf numFmtId="10" fontId="5" fillId="0" borderId="49" xfId="0" applyNumberFormat="1" applyFont="1" applyBorder="1" applyAlignment="1">
      <alignment horizontal="right"/>
    </xf>
    <xf numFmtId="10" fontId="5" fillId="0" borderId="8" xfId="0" applyNumberFormat="1" applyFont="1" applyBorder="1" applyAlignment="1">
      <alignment horizontal="right"/>
    </xf>
    <xf numFmtId="10" fontId="5" fillId="0" borderId="36" xfId="0" applyNumberFormat="1" applyFont="1" applyBorder="1" applyAlignment="1">
      <alignment horizontal="right"/>
    </xf>
    <xf numFmtId="10" fontId="14" fillId="0" borderId="8" xfId="0" applyNumberFormat="1" applyFont="1" applyBorder="1" applyAlignment="1">
      <alignment horizontal="right"/>
    </xf>
    <xf numFmtId="10" fontId="14" fillId="0" borderId="9" xfId="0" applyNumberFormat="1" applyFont="1" applyBorder="1" applyAlignment="1">
      <alignment horizontal="right"/>
    </xf>
    <xf numFmtId="9" fontId="5" fillId="0" borderId="21" xfId="0" applyNumberFormat="1" applyFont="1" applyBorder="1" applyAlignment="1">
      <alignment horizontal="right"/>
    </xf>
    <xf numFmtId="9" fontId="5" fillId="0" borderId="37" xfId="0" applyNumberFormat="1" applyFont="1" applyBorder="1" applyAlignment="1">
      <alignment horizontal="right"/>
    </xf>
    <xf numFmtId="9" fontId="5" fillId="0" borderId="8" xfId="2" applyFont="1" applyFill="1" applyBorder="1" applyAlignment="1">
      <alignment horizontal="right"/>
    </xf>
    <xf numFmtId="9" fontId="5" fillId="0" borderId="47" xfId="2" applyFont="1" applyFill="1" applyBorder="1" applyAlignment="1">
      <alignment horizontal="right"/>
    </xf>
    <xf numFmtId="9" fontId="5" fillId="0" borderId="46" xfId="2" applyFont="1" applyFill="1" applyBorder="1" applyAlignment="1">
      <alignment horizontal="right"/>
    </xf>
    <xf numFmtId="9" fontId="5" fillId="0" borderId="45" xfId="2" applyFont="1" applyFill="1" applyBorder="1" applyAlignment="1">
      <alignment horizontal="right"/>
    </xf>
    <xf numFmtId="9" fontId="5" fillId="0" borderId="36" xfId="2" applyFont="1" applyFill="1" applyBorder="1" applyAlignment="1">
      <alignment horizontal="right"/>
    </xf>
    <xf numFmtId="4" fontId="5" fillId="0" borderId="8" xfId="0" applyNumberFormat="1" applyFont="1" applyBorder="1" applyAlignment="1">
      <alignment horizontal="right"/>
    </xf>
    <xf numFmtId="4" fontId="5" fillId="0" borderId="36" xfId="0" applyNumberFormat="1" applyFont="1" applyBorder="1" applyAlignment="1">
      <alignment horizontal="right"/>
    </xf>
    <xf numFmtId="4" fontId="14" fillId="0" borderId="8" xfId="0" applyNumberFormat="1" applyFont="1" applyBorder="1" applyAlignment="1">
      <alignment horizontal="right"/>
    </xf>
    <xf numFmtId="4" fontId="14" fillId="0" borderId="9" xfId="0" applyNumberFormat="1" applyFont="1" applyBorder="1" applyAlignment="1">
      <alignment horizontal="right"/>
    </xf>
    <xf numFmtId="166" fontId="5" fillId="0" borderId="21" xfId="2" applyNumberFormat="1" applyFont="1" applyFill="1" applyBorder="1" applyAlignment="1">
      <alignment horizontal="right"/>
    </xf>
    <xf numFmtId="166" fontId="5" fillId="0" borderId="8" xfId="0" applyNumberFormat="1" applyFont="1" applyBorder="1" applyAlignment="1">
      <alignment horizontal="right"/>
    </xf>
    <xf numFmtId="166" fontId="5" fillId="0" borderId="36" xfId="0" applyNumberFormat="1" applyFont="1" applyBorder="1" applyAlignment="1">
      <alignment horizontal="right"/>
    </xf>
    <xf numFmtId="166" fontId="14" fillId="0" borderId="8" xfId="0" applyNumberFormat="1" applyFont="1" applyBorder="1" applyAlignment="1">
      <alignment horizontal="right"/>
    </xf>
    <xf numFmtId="166" fontId="14" fillId="0" borderId="9" xfId="0" applyNumberFormat="1" applyFont="1" applyBorder="1" applyAlignment="1">
      <alignment horizontal="right"/>
    </xf>
    <xf numFmtId="2" fontId="5" fillId="0" borderId="28" xfId="0" applyNumberFormat="1" applyFont="1" applyBorder="1" applyAlignment="1">
      <alignment horizontal="right"/>
    </xf>
    <xf numFmtId="2" fontId="5" fillId="0" borderId="29" xfId="0" applyNumberFormat="1" applyFont="1" applyBorder="1" applyAlignment="1">
      <alignment horizontal="right"/>
    </xf>
    <xf numFmtId="2" fontId="5" fillId="0" borderId="31" xfId="0" applyNumberFormat="1" applyFont="1" applyBorder="1" applyAlignment="1">
      <alignment horizontal="right"/>
    </xf>
    <xf numFmtId="2" fontId="5" fillId="0" borderId="8" xfId="0" applyNumberFormat="1" applyFont="1" applyBorder="1" applyAlignment="1">
      <alignment horizontal="right"/>
    </xf>
    <xf numFmtId="2" fontId="5" fillId="0" borderId="36" xfId="0" applyNumberFormat="1" applyFont="1" applyBorder="1" applyAlignment="1">
      <alignment horizontal="right"/>
    </xf>
    <xf numFmtId="3" fontId="5" fillId="0" borderId="8" xfId="2" applyNumberFormat="1" applyFont="1" applyFill="1" applyBorder="1" applyAlignment="1">
      <alignment horizontal="right"/>
    </xf>
    <xf numFmtId="3" fontId="5" fillId="0" borderId="47" xfId="2" applyNumberFormat="1" applyFont="1" applyFill="1" applyBorder="1" applyAlignment="1">
      <alignment horizontal="right"/>
    </xf>
    <xf numFmtId="3" fontId="5" fillId="0" borderId="46" xfId="2" applyNumberFormat="1" applyFont="1" applyFill="1" applyBorder="1" applyAlignment="1">
      <alignment horizontal="right"/>
    </xf>
    <xf numFmtId="3" fontId="5" fillId="0" borderId="45" xfId="2" applyNumberFormat="1" applyFont="1" applyFill="1" applyBorder="1" applyAlignment="1">
      <alignment horizontal="right"/>
    </xf>
    <xf numFmtId="166" fontId="5" fillId="0" borderId="37" xfId="2" applyNumberFormat="1" applyFont="1" applyFill="1" applyBorder="1" applyAlignment="1">
      <alignment horizontal="right"/>
    </xf>
    <xf numFmtId="0" fontId="7" fillId="0" borderId="36" xfId="0" applyFont="1" applyBorder="1" applyAlignment="1">
      <alignment horizontal="right"/>
    </xf>
    <xf numFmtId="0" fontId="15" fillId="0" borderId="9" xfId="0" applyFont="1" applyBorder="1" applyAlignment="1">
      <alignment horizontal="right"/>
    </xf>
    <xf numFmtId="166" fontId="14" fillId="0" borderId="0" xfId="0" applyNumberFormat="1" applyFont="1" applyAlignment="1">
      <alignment horizontal="right"/>
    </xf>
    <xf numFmtId="0" fontId="9" fillId="0" borderId="0" xfId="0" applyFont="1"/>
    <xf numFmtId="0" fontId="14" fillId="0" borderId="0" xfId="0" applyFont="1" applyAlignment="1">
      <alignment horizontal="left"/>
    </xf>
    <xf numFmtId="3" fontId="5" fillId="0" borderId="25" xfId="0" applyNumberFormat="1" applyFont="1" applyBorder="1" applyAlignment="1">
      <alignment horizontal="right"/>
    </xf>
    <xf numFmtId="164" fontId="5" fillId="0" borderId="37" xfId="0" applyNumberFormat="1" applyFont="1" applyBorder="1" applyAlignment="1">
      <alignment horizontal="right"/>
    </xf>
    <xf numFmtId="9" fontId="5" fillId="0" borderId="28" xfId="2" applyFont="1" applyFill="1" applyBorder="1" applyAlignment="1">
      <alignment horizontal="right"/>
    </xf>
    <xf numFmtId="9" fontId="5" fillId="0" borderId="31" xfId="2" applyFont="1" applyFill="1" applyBorder="1" applyAlignment="1">
      <alignment horizontal="right"/>
    </xf>
    <xf numFmtId="166" fontId="5" fillId="0" borderId="8" xfId="2" applyNumberFormat="1" applyFont="1" applyFill="1" applyBorder="1" applyAlignment="1">
      <alignment horizontal="right"/>
    </xf>
    <xf numFmtId="166" fontId="5" fillId="0" borderId="9" xfId="2" applyNumberFormat="1" applyFont="1" applyFill="1" applyBorder="1" applyAlignment="1">
      <alignment horizontal="right"/>
    </xf>
    <xf numFmtId="166" fontId="5" fillId="0" borderId="0" xfId="2" applyNumberFormat="1" applyFont="1" applyFill="1" applyBorder="1" applyAlignment="1">
      <alignment horizontal="right"/>
    </xf>
    <xf numFmtId="166" fontId="5" fillId="0" borderId="18" xfId="2" applyNumberFormat="1" applyFont="1" applyFill="1" applyBorder="1" applyAlignment="1">
      <alignment horizontal="right"/>
    </xf>
    <xf numFmtId="166" fontId="5" fillId="0" borderId="36" xfId="2" applyNumberFormat="1" applyFont="1" applyFill="1" applyBorder="1" applyAlignment="1">
      <alignment horizontal="right"/>
    </xf>
    <xf numFmtId="0" fontId="16" fillId="2" borderId="1" xfId="0" applyFont="1" applyFill="1" applyBorder="1"/>
    <xf numFmtId="0" fontId="16" fillId="2" borderId="2" xfId="0" applyFont="1" applyFill="1" applyBorder="1"/>
    <xf numFmtId="0" fontId="16" fillId="2" borderId="2" xfId="0" applyFont="1" applyFill="1" applyBorder="1" applyAlignment="1">
      <alignment horizontal="left"/>
    </xf>
    <xf numFmtId="0" fontId="17" fillId="2" borderId="2" xfId="0" applyFont="1" applyFill="1" applyBorder="1" applyAlignment="1">
      <alignment horizontal="right"/>
    </xf>
    <xf numFmtId="0" fontId="17" fillId="2" borderId="52" xfId="0" applyFont="1" applyFill="1" applyBorder="1" applyAlignment="1">
      <alignment horizontal="right"/>
    </xf>
    <xf numFmtId="0" fontId="17" fillId="2" borderId="3" xfId="0" applyFont="1" applyFill="1" applyBorder="1"/>
    <xf numFmtId="0" fontId="17" fillId="2" borderId="0" xfId="0" applyFont="1" applyFill="1" applyAlignment="1">
      <alignment horizontal="right"/>
    </xf>
    <xf numFmtId="0" fontId="17" fillId="2" borderId="53" xfId="0" applyFont="1" applyFill="1" applyBorder="1" applyAlignment="1">
      <alignment horizontal="right"/>
    </xf>
    <xf numFmtId="0" fontId="17" fillId="2" borderId="4" xfId="0" applyFont="1" applyFill="1" applyBorder="1"/>
    <xf numFmtId="0" fontId="17" fillId="2" borderId="5" xfId="0" applyFont="1" applyFill="1" applyBorder="1" applyAlignment="1">
      <alignment horizontal="right"/>
    </xf>
    <xf numFmtId="0" fontId="16" fillId="2" borderId="5" xfId="0" applyFont="1" applyFill="1" applyBorder="1" applyAlignment="1">
      <alignment horizontal="right"/>
    </xf>
    <xf numFmtId="0" fontId="18" fillId="0" borderId="4" xfId="0" applyFont="1" applyBorder="1"/>
    <xf numFmtId="0" fontId="18" fillId="0" borderId="3" xfId="0" applyFont="1" applyBorder="1"/>
    <xf numFmtId="0" fontId="18" fillId="0" borderId="0" xfId="0" applyFont="1"/>
    <xf numFmtId="0" fontId="19" fillId="0" borderId="0" xfId="0" applyFont="1" applyAlignment="1">
      <alignment vertical="center"/>
    </xf>
    <xf numFmtId="0" fontId="16" fillId="2" borderId="54" xfId="0" applyFont="1" applyFill="1" applyBorder="1" applyAlignment="1">
      <alignment horizontal="left"/>
    </xf>
    <xf numFmtId="0" fontId="17" fillId="2" borderId="12" xfId="0" applyFont="1" applyFill="1" applyBorder="1" applyAlignment="1">
      <alignment horizontal="right"/>
    </xf>
    <xf numFmtId="17" fontId="16" fillId="2" borderId="53" xfId="0" applyNumberFormat="1" applyFont="1" applyFill="1" applyBorder="1" applyAlignment="1">
      <alignment horizontal="right"/>
    </xf>
    <xf numFmtId="0" fontId="16" fillId="2" borderId="6" xfId="0" applyFont="1" applyFill="1" applyBorder="1" applyAlignment="1">
      <alignment horizontal="right"/>
    </xf>
    <xf numFmtId="9" fontId="7" fillId="0" borderId="8" xfId="2" applyFont="1" applyFill="1" applyBorder="1" applyAlignment="1">
      <alignment horizontal="right"/>
    </xf>
    <xf numFmtId="9" fontId="14" fillId="0" borderId="9" xfId="2" applyFont="1" applyFill="1" applyBorder="1" applyAlignment="1">
      <alignment horizontal="right"/>
    </xf>
    <xf numFmtId="0" fontId="16" fillId="2" borderId="53" xfId="0" applyFont="1" applyFill="1" applyBorder="1" applyAlignment="1">
      <alignment horizontal="right"/>
    </xf>
    <xf numFmtId="0" fontId="5" fillId="0" borderId="24" xfId="0" applyFont="1" applyBorder="1"/>
    <xf numFmtId="10" fontId="5" fillId="0" borderId="21" xfId="2" applyNumberFormat="1" applyFont="1" applyFill="1" applyBorder="1" applyAlignment="1">
      <alignment horizontal="right"/>
    </xf>
    <xf numFmtId="0" fontId="5" fillId="0" borderId="8" xfId="0" applyFont="1" applyBorder="1" applyAlignment="1">
      <alignment horizontal="right"/>
    </xf>
    <xf numFmtId="0" fontId="7" fillId="0" borderId="52" xfId="0" applyFont="1" applyBorder="1" applyAlignment="1">
      <alignment horizontal="right"/>
    </xf>
    <xf numFmtId="0" fontId="7" fillId="0" borderId="7" xfId="0" applyFont="1" applyBorder="1" applyAlignment="1">
      <alignment horizontal="right"/>
    </xf>
    <xf numFmtId="164" fontId="5" fillId="0" borderId="8" xfId="0" applyNumberFormat="1" applyFont="1" applyBorder="1" applyAlignment="1">
      <alignment horizontal="right"/>
    </xf>
    <xf numFmtId="3" fontId="5" fillId="0" borderId="9" xfId="2" applyNumberFormat="1" applyFont="1" applyFill="1" applyBorder="1" applyAlignment="1">
      <alignment horizontal="right"/>
    </xf>
    <xf numFmtId="0" fontId="20" fillId="0" borderId="3" xfId="0" applyFont="1" applyBorder="1"/>
    <xf numFmtId="3" fontId="20" fillId="0" borderId="8" xfId="0" applyNumberFormat="1" applyFont="1" applyBorder="1" applyAlignment="1">
      <alignment horizontal="right"/>
    </xf>
    <xf numFmtId="3" fontId="20" fillId="0" borderId="0" xfId="0" applyNumberFormat="1" applyFont="1" applyAlignment="1">
      <alignment horizontal="right"/>
    </xf>
    <xf numFmtId="3" fontId="20" fillId="0" borderId="36" xfId="0" applyNumberFormat="1" applyFont="1" applyBorder="1" applyAlignment="1">
      <alignment horizontal="right"/>
    </xf>
    <xf numFmtId="3" fontId="20" fillId="0" borderId="18" xfId="0" applyNumberFormat="1" applyFont="1" applyBorder="1" applyAlignment="1">
      <alignment horizontal="right"/>
    </xf>
    <xf numFmtId="2" fontId="5" fillId="0" borderId="28" xfId="2" applyNumberFormat="1" applyFont="1" applyFill="1" applyBorder="1" applyAlignment="1">
      <alignment horizontal="right"/>
    </xf>
    <xf numFmtId="0" fontId="23" fillId="0" borderId="0" xfId="0" applyFont="1" applyAlignment="1">
      <alignment horizontal="right"/>
    </xf>
    <xf numFmtId="3" fontId="25" fillId="0" borderId="28" xfId="0" applyNumberFormat="1" applyFont="1" applyBorder="1" applyAlignment="1">
      <alignment horizontal="right"/>
    </xf>
    <xf numFmtId="9" fontId="20" fillId="0" borderId="3" xfId="2" applyFont="1" applyFill="1" applyBorder="1"/>
    <xf numFmtId="9" fontId="21" fillId="0" borderId="0" xfId="2" applyFont="1" applyFill="1" applyBorder="1"/>
    <xf numFmtId="9" fontId="20" fillId="0" borderId="8" xfId="2" applyFont="1" applyFill="1" applyBorder="1" applyAlignment="1">
      <alignment horizontal="right"/>
    </xf>
    <xf numFmtId="9" fontId="20" fillId="0" borderId="9" xfId="2" applyFont="1" applyFill="1" applyBorder="1" applyAlignment="1">
      <alignment horizontal="right"/>
    </xf>
    <xf numFmtId="9" fontId="20" fillId="0" borderId="0" xfId="2" applyFont="1" applyFill="1" applyBorder="1" applyAlignment="1">
      <alignment horizontal="right"/>
    </xf>
    <xf numFmtId="9" fontId="20" fillId="0" borderId="8" xfId="2" applyFont="1" applyBorder="1" applyAlignment="1">
      <alignment horizontal="right"/>
    </xf>
    <xf numFmtId="0" fontId="20" fillId="0" borderId="26" xfId="0" applyFont="1" applyBorder="1"/>
    <xf numFmtId="3" fontId="20" fillId="0" borderId="28" xfId="0" applyNumberFormat="1" applyFont="1" applyBorder="1" applyAlignment="1">
      <alignment horizontal="right"/>
    </xf>
    <xf numFmtId="167" fontId="5" fillId="0" borderId="21" xfId="2" applyNumberFormat="1" applyFont="1" applyFill="1" applyBorder="1" applyAlignment="1">
      <alignment horizontal="right"/>
    </xf>
    <xf numFmtId="167" fontId="5" fillId="0" borderId="22" xfId="2" applyNumberFormat="1" applyFont="1" applyFill="1" applyBorder="1" applyAlignment="1">
      <alignment horizontal="right"/>
    </xf>
    <xf numFmtId="3" fontId="5" fillId="0" borderId="30" xfId="0" applyNumberFormat="1" applyFont="1" applyBorder="1" applyAlignment="1">
      <alignment horizontal="right"/>
    </xf>
    <xf numFmtId="3" fontId="5" fillId="0" borderId="58" xfId="0" applyNumberFormat="1" applyFont="1" applyBorder="1" applyAlignment="1">
      <alignment horizontal="right"/>
    </xf>
    <xf numFmtId="167" fontId="5" fillId="0" borderId="23" xfId="2" applyNumberFormat="1" applyFont="1" applyFill="1" applyBorder="1" applyAlignment="1">
      <alignment horizontal="right"/>
    </xf>
    <xf numFmtId="164" fontId="5" fillId="0" borderId="30" xfId="0" applyNumberFormat="1" applyFont="1" applyBorder="1" applyAlignment="1">
      <alignment horizontal="right"/>
    </xf>
    <xf numFmtId="166" fontId="5" fillId="0" borderId="33" xfId="2" applyNumberFormat="1" applyFont="1" applyFill="1" applyBorder="1" applyAlignment="1">
      <alignment horizontal="right"/>
    </xf>
    <xf numFmtId="0" fontId="4" fillId="0" borderId="0" xfId="0" applyFont="1"/>
    <xf numFmtId="0" fontId="25" fillId="0" borderId="26" xfId="0" applyFont="1" applyBorder="1"/>
    <xf numFmtId="0" fontId="21" fillId="0" borderId="27" xfId="0" applyFont="1" applyBorder="1"/>
    <xf numFmtId="3" fontId="25" fillId="0" borderId="21" xfId="0" applyNumberFormat="1" applyFont="1" applyBorder="1" applyAlignment="1">
      <alignment horizontal="right"/>
    </xf>
    <xf numFmtId="166" fontId="5" fillId="0" borderId="19" xfId="2" applyNumberFormat="1" applyFont="1" applyFill="1" applyBorder="1"/>
    <xf numFmtId="0" fontId="4" fillId="3" borderId="27" xfId="0" applyFont="1" applyFill="1" applyBorder="1"/>
    <xf numFmtId="0" fontId="8" fillId="3" borderId="27" xfId="0" applyFont="1" applyFill="1" applyBorder="1"/>
    <xf numFmtId="1" fontId="4" fillId="3" borderId="20" xfId="0" applyNumberFormat="1" applyFont="1" applyFill="1" applyBorder="1"/>
    <xf numFmtId="3" fontId="20" fillId="0" borderId="31" xfId="0" applyNumberFormat="1" applyFont="1" applyBorder="1" applyAlignment="1">
      <alignment horizontal="right"/>
    </xf>
    <xf numFmtId="3" fontId="20" fillId="0" borderId="21" xfId="0" applyNumberFormat="1" applyFont="1" applyBorder="1" applyAlignment="1">
      <alignment horizontal="right"/>
    </xf>
    <xf numFmtId="0" fontId="7" fillId="0" borderId="19" xfId="0" applyFont="1" applyBorder="1"/>
    <xf numFmtId="10" fontId="5" fillId="0" borderId="0" xfId="2" applyNumberFormat="1" applyFont="1" applyFill="1" applyBorder="1" applyAlignment="1">
      <alignment horizontal="right"/>
    </xf>
    <xf numFmtId="10" fontId="5" fillId="0" borderId="37" xfId="2" applyNumberFormat="1" applyFont="1" applyFill="1" applyBorder="1" applyAlignment="1">
      <alignment horizontal="right"/>
    </xf>
    <xf numFmtId="0" fontId="7" fillId="0" borderId="0" xfId="0" applyFont="1"/>
    <xf numFmtId="0" fontId="20" fillId="0" borderId="0" xfId="0" applyFont="1"/>
    <xf numFmtId="9" fontId="5" fillId="0" borderId="49" xfId="2" applyFont="1" applyFill="1" applyBorder="1" applyAlignment="1">
      <alignment horizontal="right"/>
    </xf>
    <xf numFmtId="9" fontId="5" fillId="0" borderId="18" xfId="2" applyFont="1" applyFill="1" applyBorder="1" applyAlignment="1">
      <alignment horizontal="right"/>
    </xf>
    <xf numFmtId="10" fontId="5" fillId="0" borderId="42" xfId="2" applyNumberFormat="1" applyFont="1" applyFill="1" applyBorder="1" applyAlignment="1">
      <alignment horizontal="right"/>
    </xf>
    <xf numFmtId="10" fontId="5" fillId="0" borderId="33" xfId="2" applyNumberFormat="1" applyFont="1" applyFill="1" applyBorder="1" applyAlignment="1">
      <alignment horizontal="right"/>
    </xf>
    <xf numFmtId="10" fontId="5" fillId="0" borderId="46" xfId="2" applyNumberFormat="1" applyFont="1" applyFill="1" applyBorder="1" applyAlignment="1">
      <alignment horizontal="right"/>
    </xf>
    <xf numFmtId="49" fontId="28" fillId="2" borderId="55" xfId="0" applyNumberFormat="1" applyFont="1" applyFill="1" applyBorder="1" applyAlignment="1">
      <alignment horizontal="right"/>
    </xf>
    <xf numFmtId="9" fontId="20" fillId="0" borderId="0" xfId="2" applyFont="1" applyFill="1" applyBorder="1"/>
    <xf numFmtId="0" fontId="27" fillId="0" borderId="0" xfId="0" applyFont="1"/>
    <xf numFmtId="3" fontId="5" fillId="0" borderId="0" xfId="0" applyNumberFormat="1" applyFont="1"/>
    <xf numFmtId="165" fontId="17" fillId="2" borderId="2" xfId="0" applyNumberFormat="1" applyFont="1" applyFill="1" applyBorder="1" applyAlignment="1">
      <alignment horizontal="right"/>
    </xf>
    <xf numFmtId="2" fontId="5" fillId="0" borderId="0" xfId="0" applyNumberFormat="1" applyFont="1" applyAlignment="1">
      <alignment horizontal="right"/>
    </xf>
    <xf numFmtId="164" fontId="25" fillId="0" borderId="28" xfId="0" applyNumberFormat="1" applyFont="1" applyBorder="1" applyAlignment="1">
      <alignment horizontal="right"/>
    </xf>
    <xf numFmtId="168" fontId="20" fillId="0" borderId="0" xfId="0" applyNumberFormat="1" applyFont="1"/>
    <xf numFmtId="0" fontId="9" fillId="0" borderId="0" xfId="0" applyFont="1" applyAlignment="1">
      <alignment wrapText="1"/>
    </xf>
    <xf numFmtId="0" fontId="5" fillId="0" borderId="49" xfId="2" applyNumberFormat="1" applyFont="1" applyFill="1" applyBorder="1" applyAlignment="1">
      <alignment horizontal="right"/>
    </xf>
    <xf numFmtId="0" fontId="5" fillId="0" borderId="46" xfId="2" applyNumberFormat="1" applyFont="1" applyFill="1" applyBorder="1" applyAlignment="1">
      <alignment horizontal="right"/>
    </xf>
    <xf numFmtId="10" fontId="5" fillId="0" borderId="21" xfId="2" quotePrefix="1" applyNumberFormat="1" applyFont="1" applyFill="1" applyBorder="1" applyAlignment="1">
      <alignment horizontal="right"/>
    </xf>
    <xf numFmtId="9" fontId="7" fillId="0" borderId="0" xfId="2" applyFont="1" applyFill="1" applyBorder="1"/>
    <xf numFmtId="9" fontId="5" fillId="0" borderId="0" xfId="2" applyFont="1" applyFill="1" applyBorder="1"/>
    <xf numFmtId="10" fontId="5" fillId="0" borderId="28" xfId="2" applyNumberFormat="1" applyFont="1" applyFill="1" applyBorder="1" applyAlignment="1">
      <alignment horizontal="right"/>
    </xf>
    <xf numFmtId="169" fontId="20" fillId="0" borderId="8" xfId="0" applyNumberFormat="1" applyFont="1" applyBorder="1" applyAlignment="1">
      <alignment horizontal="right"/>
    </xf>
    <xf numFmtId="168" fontId="5" fillId="0" borderId="8" xfId="0" applyNumberFormat="1" applyFont="1" applyBorder="1" applyAlignment="1">
      <alignment horizontal="right"/>
    </xf>
    <xf numFmtId="0" fontId="14" fillId="0" borderId="0" xfId="0" applyFont="1"/>
    <xf numFmtId="0" fontId="5" fillId="0" borderId="12" xfId="0" applyFont="1" applyBorder="1"/>
    <xf numFmtId="166" fontId="5" fillId="0" borderId="12" xfId="2" applyNumberFormat="1" applyFont="1" applyFill="1" applyBorder="1"/>
    <xf numFmtId="0" fontId="31" fillId="0" borderId="0" xfId="0" applyFont="1" applyAlignment="1">
      <alignment vertical="top" wrapText="1"/>
    </xf>
    <xf numFmtId="0" fontId="5" fillId="0" borderId="0" xfId="0" applyFont="1" applyAlignment="1">
      <alignment horizontal="left"/>
    </xf>
    <xf numFmtId="165" fontId="5" fillId="0" borderId="0" xfId="0" applyNumberFormat="1" applyFont="1" applyAlignment="1">
      <alignment horizontal="right"/>
    </xf>
    <xf numFmtId="0" fontId="17" fillId="2" borderId="0" xfId="0" applyFont="1" applyFill="1"/>
    <xf numFmtId="0" fontId="16" fillId="2" borderId="0" xfId="0" applyFont="1" applyFill="1" applyAlignment="1">
      <alignment horizontal="right"/>
    </xf>
    <xf numFmtId="0" fontId="7" fillId="0" borderId="10" xfId="0" applyFont="1" applyBorder="1" applyAlignment="1">
      <alignment horizontal="right"/>
    </xf>
    <xf numFmtId="0" fontId="7" fillId="0" borderId="0" xfId="0" applyFont="1" applyAlignment="1">
      <alignment horizontal="right"/>
    </xf>
    <xf numFmtId="0" fontId="7" fillId="0" borderId="2" xfId="0" applyFont="1" applyBorder="1" applyAlignment="1">
      <alignment horizontal="right"/>
    </xf>
    <xf numFmtId="0" fontId="7" fillId="0" borderId="11" xfId="0" applyFont="1" applyBorder="1" applyAlignment="1">
      <alignment horizontal="right"/>
    </xf>
    <xf numFmtId="0" fontId="8" fillId="0" borderId="5" xfId="0" applyFont="1" applyBorder="1" applyAlignment="1">
      <alignment horizontal="right"/>
    </xf>
    <xf numFmtId="0" fontId="7" fillId="0" borderId="5" xfId="0" applyFont="1" applyBorder="1" applyAlignment="1">
      <alignment horizontal="right"/>
    </xf>
    <xf numFmtId="0" fontId="7" fillId="0" borderId="16" xfId="0" applyFont="1" applyBorder="1" applyAlignment="1">
      <alignment horizontal="right"/>
    </xf>
    <xf numFmtId="3" fontId="5" fillId="0" borderId="10" xfId="0" applyNumberFormat="1" applyFont="1" applyBorder="1" applyAlignment="1">
      <alignment horizontal="right"/>
    </xf>
    <xf numFmtId="3" fontId="5" fillId="0" borderId="7" xfId="0" applyNumberFormat="1" applyFont="1" applyBorder="1" applyAlignment="1">
      <alignment horizontal="right"/>
    </xf>
    <xf numFmtId="0" fontId="4" fillId="0" borderId="20" xfId="0" applyFont="1" applyBorder="1"/>
    <xf numFmtId="3" fontId="5" fillId="0" borderId="23" xfId="0" applyNumberFormat="1" applyFont="1" applyBorder="1" applyAlignment="1">
      <alignment horizontal="right"/>
    </xf>
    <xf numFmtId="0" fontId="4" fillId="0" borderId="27" xfId="0" applyFont="1" applyBorder="1"/>
    <xf numFmtId="3" fontId="5" fillId="0" borderId="27" xfId="0" applyNumberFormat="1" applyFont="1" applyBorder="1" applyAlignment="1">
      <alignment horizontal="right"/>
    </xf>
    <xf numFmtId="0" fontId="8" fillId="0" borderId="27" xfId="0" applyFont="1" applyBorder="1"/>
    <xf numFmtId="3" fontId="7" fillId="0" borderId="27" xfId="0" applyNumberFormat="1" applyFont="1" applyBorder="1" applyAlignment="1">
      <alignment horizontal="right"/>
    </xf>
    <xf numFmtId="3" fontId="7" fillId="0" borderId="29" xfId="0" applyNumberFormat="1" applyFont="1" applyBorder="1" applyAlignment="1">
      <alignment horizontal="right"/>
    </xf>
    <xf numFmtId="0" fontId="26" fillId="0" borderId="0" xfId="0" applyFont="1"/>
    <xf numFmtId="0" fontId="22" fillId="0" borderId="0" xfId="0" applyFont="1"/>
    <xf numFmtId="3" fontId="20" fillId="0" borderId="29" xfId="0" applyNumberFormat="1" applyFont="1" applyBorder="1" applyAlignment="1">
      <alignment horizontal="right"/>
    </xf>
    <xf numFmtId="3" fontId="20" fillId="0" borderId="27" xfId="0" applyNumberFormat="1" applyFont="1" applyBorder="1" applyAlignment="1">
      <alignment horizontal="right"/>
    </xf>
    <xf numFmtId="0" fontId="8" fillId="0" borderId="2" xfId="0" applyFont="1" applyBorder="1"/>
    <xf numFmtId="3" fontId="7" fillId="0" borderId="0" xfId="0" applyNumberFormat="1" applyFont="1"/>
    <xf numFmtId="0" fontId="24" fillId="0" borderId="3" xfId="0" applyFont="1" applyBorder="1"/>
    <xf numFmtId="0" fontId="24" fillId="0" borderId="0" xfId="0" applyFont="1"/>
    <xf numFmtId="3" fontId="24" fillId="0" borderId="8" xfId="0" applyNumberFormat="1" applyFont="1" applyBorder="1" applyAlignment="1">
      <alignment horizontal="right"/>
    </xf>
    <xf numFmtId="3" fontId="24" fillId="0" borderId="0" xfId="0" applyNumberFormat="1" applyFont="1" applyAlignment="1">
      <alignment horizontal="right"/>
    </xf>
    <xf numFmtId="3" fontId="24" fillId="0" borderId="9" xfId="0" applyNumberFormat="1" applyFont="1" applyBorder="1" applyAlignment="1">
      <alignment horizontal="right"/>
    </xf>
    <xf numFmtId="168" fontId="24" fillId="0" borderId="8" xfId="0" applyNumberFormat="1" applyFont="1" applyBorder="1" applyAlignment="1">
      <alignment horizontal="right"/>
    </xf>
    <xf numFmtId="0" fontId="5" fillId="0" borderId="20" xfId="0" applyFont="1" applyBorder="1"/>
    <xf numFmtId="1" fontId="5" fillId="0" borderId="28" xfId="0" applyNumberFormat="1" applyFont="1" applyBorder="1" applyAlignment="1">
      <alignment horizontal="right"/>
    </xf>
    <xf numFmtId="0" fontId="5" fillId="0" borderId="27" xfId="0" applyFont="1" applyBorder="1"/>
    <xf numFmtId="0" fontId="5" fillId="0" borderId="40" xfId="0" applyFont="1" applyBorder="1"/>
    <xf numFmtId="3" fontId="5" fillId="0" borderId="40" xfId="0" applyNumberFormat="1" applyFont="1" applyBorder="1" applyAlignment="1">
      <alignment horizontal="right"/>
    </xf>
    <xf numFmtId="3" fontId="5" fillId="0" borderId="41" xfId="0" applyNumberFormat="1" applyFont="1" applyBorder="1" applyAlignment="1">
      <alignment horizontal="right"/>
    </xf>
    <xf numFmtId="0" fontId="8" fillId="0" borderId="0" xfId="0" applyFont="1"/>
    <xf numFmtId="3" fontId="7" fillId="0" borderId="0" xfId="0" applyNumberFormat="1" applyFont="1" applyAlignment="1">
      <alignment horizontal="right"/>
    </xf>
    <xf numFmtId="3" fontId="7" fillId="0" borderId="2" xfId="0" applyNumberFormat="1" applyFont="1" applyBorder="1" applyAlignment="1">
      <alignment horizontal="right"/>
    </xf>
    <xf numFmtId="3" fontId="7" fillId="0" borderId="10" xfId="0" applyNumberFormat="1" applyFont="1" applyBorder="1" applyAlignment="1">
      <alignment horizontal="right"/>
    </xf>
    <xf numFmtId="0" fontId="5" fillId="0" borderId="56" xfId="0" applyFont="1" applyBorder="1"/>
    <xf numFmtId="0" fontId="4" fillId="0" borderId="40" xfId="0" applyFont="1" applyBorder="1"/>
    <xf numFmtId="0" fontId="21" fillId="0" borderId="0" xfId="0" applyFont="1"/>
    <xf numFmtId="3" fontId="20" fillId="0" borderId="9" xfId="0" applyNumberFormat="1" applyFont="1" applyBorder="1" applyAlignment="1">
      <alignment horizontal="right"/>
    </xf>
    <xf numFmtId="0" fontId="3" fillId="0" borderId="0" xfId="0" applyFont="1"/>
    <xf numFmtId="9" fontId="5" fillId="0" borderId="20" xfId="0" applyNumberFormat="1" applyFont="1" applyBorder="1" applyAlignment="1">
      <alignment horizontal="right"/>
    </xf>
    <xf numFmtId="9" fontId="5" fillId="0" borderId="22" xfId="0" applyNumberFormat="1" applyFont="1" applyBorder="1" applyAlignment="1">
      <alignment horizontal="right"/>
    </xf>
    <xf numFmtId="9" fontId="5" fillId="0" borderId="29" xfId="2" applyFont="1" applyFill="1" applyBorder="1" applyAlignment="1">
      <alignment horizontal="right"/>
    </xf>
    <xf numFmtId="4" fontId="5" fillId="0" borderId="9" xfId="0" applyNumberFormat="1" applyFont="1" applyBorder="1" applyAlignment="1">
      <alignment horizontal="right"/>
    </xf>
    <xf numFmtId="4" fontId="5" fillId="0" borderId="0" xfId="0" applyNumberFormat="1" applyFont="1" applyAlignment="1">
      <alignment horizontal="right"/>
    </xf>
    <xf numFmtId="1" fontId="4" fillId="0" borderId="20" xfId="0" applyNumberFormat="1" applyFont="1" applyBorder="1"/>
    <xf numFmtId="4" fontId="5" fillId="0" borderId="29" xfId="0" applyNumberFormat="1" applyFont="1" applyBorder="1" applyAlignment="1">
      <alignment horizontal="right"/>
    </xf>
    <xf numFmtId="4" fontId="5" fillId="0" borderId="22" xfId="0" applyNumberFormat="1" applyFont="1" applyBorder="1" applyAlignment="1">
      <alignment horizontal="right"/>
    </xf>
    <xf numFmtId="4" fontId="5" fillId="0" borderId="20" xfId="0" applyNumberFormat="1" applyFont="1" applyBorder="1" applyAlignment="1">
      <alignment horizontal="right"/>
    </xf>
    <xf numFmtId="164" fontId="5" fillId="0" borderId="9" xfId="0" applyNumberFormat="1" applyFont="1" applyBorder="1" applyAlignment="1">
      <alignment horizontal="right"/>
    </xf>
    <xf numFmtId="164" fontId="5" fillId="0" borderId="27" xfId="0" applyNumberFormat="1" applyFont="1" applyBorder="1" applyAlignment="1">
      <alignment horizontal="right"/>
    </xf>
    <xf numFmtId="164" fontId="5" fillId="0" borderId="0" xfId="0" applyNumberFormat="1" applyFont="1" applyAlignment="1">
      <alignment horizontal="right"/>
    </xf>
    <xf numFmtId="0" fontId="4" fillId="0" borderId="45" xfId="0" applyFont="1" applyBorder="1"/>
    <xf numFmtId="3" fontId="5" fillId="0" borderId="45" xfId="0" applyNumberFormat="1" applyFont="1" applyBorder="1" applyAlignment="1">
      <alignment horizontal="right"/>
    </xf>
    <xf numFmtId="0" fontId="8" fillId="0" borderId="20" xfId="0" applyFont="1" applyBorder="1"/>
    <xf numFmtId="0" fontId="11" fillId="0" borderId="12" xfId="0" applyFont="1" applyBorder="1"/>
    <xf numFmtId="0" fontId="7" fillId="0" borderId="27" xfId="0" applyFont="1" applyBorder="1"/>
    <xf numFmtId="0" fontId="4" fillId="0" borderId="50" xfId="0" applyFont="1" applyBorder="1"/>
    <xf numFmtId="166" fontId="5" fillId="0" borderId="29" xfId="0" applyNumberFormat="1" applyFont="1" applyBorder="1" applyAlignment="1">
      <alignment horizontal="right"/>
    </xf>
    <xf numFmtId="0" fontId="5" fillId="0" borderId="50" xfId="0" applyFont="1" applyBorder="1"/>
    <xf numFmtId="0" fontId="11" fillId="0" borderId="0" xfId="0" applyFont="1"/>
    <xf numFmtId="4" fontId="5" fillId="0" borderId="27" xfId="0" applyNumberFormat="1" applyFont="1" applyBorder="1" applyAlignment="1">
      <alignment horizontal="right"/>
    </xf>
    <xf numFmtId="4" fontId="5" fillId="0" borderId="47" xfId="0" applyNumberFormat="1" applyFont="1" applyBorder="1" applyAlignment="1">
      <alignment horizontal="right"/>
    </xf>
    <xf numFmtId="10" fontId="4" fillId="0" borderId="45" xfId="0" applyNumberFormat="1" applyFont="1" applyBorder="1" applyAlignment="1">
      <alignment horizontal="right"/>
    </xf>
    <xf numFmtId="10" fontId="5" fillId="0" borderId="45" xfId="0" applyNumberFormat="1" applyFont="1" applyBorder="1" applyAlignment="1">
      <alignment horizontal="right"/>
    </xf>
    <xf numFmtId="10" fontId="5" fillId="0" borderId="47" xfId="0" applyNumberFormat="1" applyFont="1" applyBorder="1" applyAlignment="1">
      <alignment horizontal="right"/>
    </xf>
    <xf numFmtId="10" fontId="4" fillId="0" borderId="0" xfId="0" applyNumberFormat="1" applyFont="1" applyAlignment="1">
      <alignment horizontal="right"/>
    </xf>
    <xf numFmtId="10" fontId="5" fillId="0" borderId="27" xfId="0" applyNumberFormat="1" applyFont="1" applyBorder="1" applyAlignment="1">
      <alignment horizontal="right"/>
    </xf>
    <xf numFmtId="10" fontId="5" fillId="0" borderId="29" xfId="0" applyNumberFormat="1" applyFont="1" applyBorder="1" applyAlignment="1">
      <alignment horizontal="right"/>
    </xf>
    <xf numFmtId="10" fontId="5" fillId="0" borderId="9" xfId="0" applyNumberFormat="1" applyFont="1" applyBorder="1" applyAlignment="1">
      <alignment horizontal="right"/>
    </xf>
    <xf numFmtId="10" fontId="5" fillId="0" borderId="0" xfId="0" applyNumberFormat="1" applyFont="1" applyAlignment="1">
      <alignment horizontal="right"/>
    </xf>
    <xf numFmtId="4" fontId="5" fillId="0" borderId="18" xfId="0" applyNumberFormat="1" applyFont="1" applyBorder="1" applyAlignment="1">
      <alignment horizontal="right"/>
    </xf>
    <xf numFmtId="170" fontId="5" fillId="0" borderId="28" xfId="0" applyNumberFormat="1" applyFont="1" applyBorder="1" applyAlignment="1">
      <alignment horizontal="right"/>
    </xf>
    <xf numFmtId="166" fontId="5" fillId="0" borderId="9" xfId="0" applyNumberFormat="1" applyFont="1" applyBorder="1" applyAlignment="1">
      <alignment horizontal="right"/>
    </xf>
    <xf numFmtId="166" fontId="5" fillId="0" borderId="0" xfId="0" applyNumberFormat="1" applyFont="1" applyAlignment="1">
      <alignment horizontal="right"/>
    </xf>
    <xf numFmtId="0" fontId="4" fillId="0" borderId="5" xfId="0" applyFont="1" applyBorder="1"/>
    <xf numFmtId="4" fontId="5" fillId="0" borderId="39" xfId="0" applyNumberFormat="1" applyFont="1" applyBorder="1" applyAlignment="1">
      <alignment horizontal="right"/>
    </xf>
    <xf numFmtId="4" fontId="5" fillId="0" borderId="33" xfId="0" applyNumberFormat="1" applyFont="1" applyBorder="1" applyAlignment="1">
      <alignment horizontal="right"/>
    </xf>
    <xf numFmtId="3" fontId="14" fillId="0" borderId="0" xfId="0" applyNumberFormat="1" applyFont="1" applyAlignment="1">
      <alignment horizontal="right"/>
    </xf>
    <xf numFmtId="0" fontId="5" fillId="0" borderId="0" xfId="0" applyFont="1" applyAlignment="1">
      <alignment wrapText="1"/>
    </xf>
    <xf numFmtId="3" fontId="7" fillId="0" borderId="51" xfId="0" applyNumberFormat="1" applyFont="1" applyBorder="1" applyAlignment="1">
      <alignment horizontal="right"/>
    </xf>
    <xf numFmtId="3" fontId="32" fillId="0" borderId="0" xfId="0" applyNumberFormat="1" applyFont="1"/>
    <xf numFmtId="0" fontId="32" fillId="0" borderId="0" xfId="0" applyFont="1"/>
    <xf numFmtId="9" fontId="5" fillId="0" borderId="0" xfId="2" applyFont="1" applyFill="1"/>
    <xf numFmtId="9" fontId="5" fillId="0" borderId="0" xfId="0" applyNumberFormat="1" applyFont="1"/>
    <xf numFmtId="167" fontId="5" fillId="0" borderId="0" xfId="0" applyNumberFormat="1" applyFont="1"/>
    <xf numFmtId="10" fontId="5" fillId="0" borderId="0" xfId="0" applyNumberFormat="1" applyFont="1"/>
    <xf numFmtId="166" fontId="5" fillId="0" borderId="28" xfId="2" applyNumberFormat="1" applyFont="1" applyBorder="1" applyAlignment="1">
      <alignment horizontal="right"/>
    </xf>
    <xf numFmtId="166" fontId="5" fillId="0" borderId="29" xfId="2" applyNumberFormat="1" applyFont="1" applyBorder="1" applyAlignment="1">
      <alignment horizontal="right"/>
    </xf>
    <xf numFmtId="166" fontId="5" fillId="0" borderId="27" xfId="2" applyNumberFormat="1" applyFont="1" applyBorder="1" applyAlignment="1">
      <alignment horizontal="right"/>
    </xf>
    <xf numFmtId="166" fontId="5" fillId="0" borderId="30" xfId="2" applyNumberFormat="1" applyFont="1" applyBorder="1" applyAlignment="1">
      <alignment horizontal="right"/>
    </xf>
    <xf numFmtId="10" fontId="5" fillId="0" borderId="28" xfId="2" applyNumberFormat="1" applyFont="1" applyBorder="1" applyAlignment="1">
      <alignment horizontal="right"/>
    </xf>
    <xf numFmtId="10" fontId="5" fillId="0" borderId="29" xfId="2" applyNumberFormat="1" applyFont="1" applyBorder="1" applyAlignment="1">
      <alignment horizontal="right"/>
    </xf>
    <xf numFmtId="10" fontId="5" fillId="0" borderId="27" xfId="2" applyNumberFormat="1" applyFont="1" applyBorder="1" applyAlignment="1">
      <alignment horizontal="right"/>
    </xf>
    <xf numFmtId="10" fontId="5" fillId="0" borderId="30" xfId="2" applyNumberFormat="1" applyFont="1" applyBorder="1" applyAlignment="1">
      <alignment horizontal="right"/>
    </xf>
    <xf numFmtId="2" fontId="5" fillId="0" borderId="27" xfId="0" applyNumberFormat="1" applyFont="1" applyBorder="1" applyAlignment="1">
      <alignment horizontal="right"/>
    </xf>
    <xf numFmtId="4" fontId="5" fillId="0" borderId="30" xfId="0" applyNumberFormat="1" applyFont="1" applyBorder="1" applyAlignment="1">
      <alignment horizontal="right"/>
    </xf>
    <xf numFmtId="166" fontId="5" fillId="0" borderId="27" xfId="0" applyNumberFormat="1" applyFont="1" applyBorder="1" applyAlignment="1">
      <alignment horizontal="right"/>
    </xf>
    <xf numFmtId="4" fontId="5" fillId="0" borderId="26" xfId="0" applyNumberFormat="1" applyFont="1" applyBorder="1"/>
    <xf numFmtId="4" fontId="5" fillId="0" borderId="0" xfId="0" applyNumberFormat="1" applyFont="1"/>
    <xf numFmtId="3" fontId="5" fillId="0" borderId="26" xfId="0" applyNumberFormat="1" applyFont="1" applyBorder="1"/>
    <xf numFmtId="9" fontId="20" fillId="0" borderId="36" xfId="0" applyNumberFormat="1" applyFont="1" applyBorder="1" applyAlignment="1">
      <alignment horizontal="right"/>
    </xf>
    <xf numFmtId="9" fontId="20" fillId="0" borderId="8" xfId="0" applyNumberFormat="1" applyFont="1" applyBorder="1" applyAlignment="1">
      <alignment horizontal="right"/>
    </xf>
    <xf numFmtId="0" fontId="5" fillId="0" borderId="1" xfId="0" applyFont="1" applyBorder="1"/>
    <xf numFmtId="3" fontId="5" fillId="0" borderId="35" xfId="0" applyNumberFormat="1" applyFont="1" applyBorder="1" applyAlignment="1">
      <alignment horizontal="right"/>
    </xf>
    <xf numFmtId="0" fontId="5" fillId="0" borderId="7" xfId="0" applyFont="1" applyBorder="1" applyAlignment="1">
      <alignment horizontal="right"/>
    </xf>
    <xf numFmtId="3" fontId="5" fillId="0" borderId="10" xfId="2" applyNumberFormat="1" applyFont="1" applyFill="1" applyBorder="1" applyAlignment="1">
      <alignment horizontal="right"/>
    </xf>
    <xf numFmtId="0" fontId="9" fillId="0" borderId="0" xfId="0" applyFont="1" applyAlignment="1">
      <alignment vertical="top" wrapText="1"/>
    </xf>
    <xf numFmtId="0" fontId="18" fillId="0" borderId="19" xfId="0" applyFont="1" applyBorder="1"/>
    <xf numFmtId="166" fontId="5" fillId="0" borderId="0" xfId="2" applyNumberFormat="1" applyFont="1"/>
    <xf numFmtId="10" fontId="5" fillId="0" borderId="0" xfId="2" applyNumberFormat="1" applyFont="1"/>
    <xf numFmtId="9" fontId="3" fillId="0" borderId="0" xfId="10" applyFont="1"/>
    <xf numFmtId="0" fontId="7" fillId="0" borderId="55" xfId="0" applyFont="1" applyBorder="1" applyAlignment="1">
      <alignment horizontal="right"/>
    </xf>
    <xf numFmtId="3" fontId="7" fillId="0" borderId="43" xfId="0" applyNumberFormat="1" applyFont="1" applyBorder="1" applyAlignment="1">
      <alignment horizontal="right"/>
    </xf>
    <xf numFmtId="3" fontId="25" fillId="0" borderId="43" xfId="0" applyNumberFormat="1" applyFont="1" applyBorder="1" applyAlignment="1">
      <alignment horizontal="right"/>
    </xf>
    <xf numFmtId="3" fontId="20" fillId="0" borderId="43" xfId="0" applyNumberFormat="1" applyFont="1" applyBorder="1" applyAlignment="1">
      <alignment horizontal="right"/>
    </xf>
    <xf numFmtId="3" fontId="5" fillId="0" borderId="51" xfId="0" applyNumberFormat="1" applyFont="1" applyBorder="1" applyAlignment="1">
      <alignment horizontal="right"/>
    </xf>
    <xf numFmtId="3" fontId="5" fillId="0" borderId="34" xfId="0" applyNumberFormat="1" applyFont="1" applyBorder="1" applyAlignment="1">
      <alignment horizontal="right"/>
    </xf>
    <xf numFmtId="9" fontId="5" fillId="0" borderId="43" xfId="0" applyNumberFormat="1" applyFont="1" applyBorder="1" applyAlignment="1">
      <alignment horizontal="right"/>
    </xf>
    <xf numFmtId="9" fontId="5" fillId="0" borderId="25" xfId="0" applyNumberFormat="1" applyFont="1" applyBorder="1" applyAlignment="1">
      <alignment horizontal="right"/>
    </xf>
    <xf numFmtId="164" fontId="5" fillId="0" borderId="43" xfId="0" applyNumberFormat="1" applyFont="1" applyBorder="1" applyAlignment="1">
      <alignment horizontal="right"/>
    </xf>
    <xf numFmtId="4" fontId="5" fillId="0" borderId="43" xfId="0" applyNumberFormat="1" applyFont="1" applyBorder="1" applyAlignment="1">
      <alignment horizontal="right"/>
    </xf>
    <xf numFmtId="3" fontId="5" fillId="0" borderId="48" xfId="0" applyNumberFormat="1" applyFont="1" applyBorder="1" applyAlignment="1">
      <alignment horizontal="right"/>
    </xf>
    <xf numFmtId="10" fontId="5" fillId="0" borderId="43" xfId="0" applyNumberFormat="1" applyFont="1" applyBorder="1" applyAlignment="1">
      <alignment horizontal="right"/>
    </xf>
    <xf numFmtId="167" fontId="5" fillId="0" borderId="25" xfId="2" applyNumberFormat="1" applyFont="1" applyFill="1" applyBorder="1" applyAlignment="1">
      <alignment horizontal="right"/>
    </xf>
    <xf numFmtId="164" fontId="5" fillId="0" borderId="13" xfId="0" applyNumberFormat="1" applyFont="1" applyBorder="1" applyAlignment="1">
      <alignment horizontal="right"/>
    </xf>
    <xf numFmtId="10" fontId="5" fillId="0" borderId="43" xfId="2" applyNumberFormat="1" applyFont="1" applyBorder="1" applyAlignment="1">
      <alignment horizontal="right"/>
    </xf>
    <xf numFmtId="10" fontId="5" fillId="0" borderId="48" xfId="0" applyNumberFormat="1" applyFont="1" applyBorder="1" applyAlignment="1">
      <alignment horizontal="right"/>
    </xf>
    <xf numFmtId="10" fontId="5" fillId="0" borderId="13" xfId="0" applyNumberFormat="1" applyFont="1" applyBorder="1" applyAlignment="1">
      <alignment horizontal="right"/>
    </xf>
    <xf numFmtId="166" fontId="5" fillId="0" borderId="13" xfId="0" applyNumberFormat="1" applyFont="1" applyBorder="1" applyAlignment="1">
      <alignment horizontal="right"/>
    </xf>
    <xf numFmtId="3" fontId="0" fillId="0" borderId="0" xfId="0" applyNumberFormat="1"/>
    <xf numFmtId="9" fontId="0" fillId="0" borderId="0" xfId="2" applyFont="1"/>
    <xf numFmtId="3" fontId="25" fillId="0" borderId="29" xfId="0" applyNumberFormat="1" applyFont="1" applyBorder="1" applyAlignment="1">
      <alignment horizontal="right"/>
    </xf>
    <xf numFmtId="9" fontId="5" fillId="0" borderId="29" xfId="0" applyNumberFormat="1" applyFont="1" applyBorder="1" applyAlignment="1">
      <alignment horizontal="right"/>
    </xf>
    <xf numFmtId="168" fontId="5" fillId="0" borderId="9" xfId="0" applyNumberFormat="1" applyFont="1" applyBorder="1" applyAlignment="1">
      <alignment horizontal="right"/>
    </xf>
    <xf numFmtId="170" fontId="5" fillId="0" borderId="29" xfId="0" applyNumberFormat="1" applyFont="1" applyBorder="1" applyAlignment="1">
      <alignment horizontal="right"/>
    </xf>
    <xf numFmtId="2" fontId="5" fillId="0" borderId="29" xfId="2" applyNumberFormat="1" applyFont="1" applyFill="1" applyBorder="1" applyAlignment="1">
      <alignment horizontal="right"/>
    </xf>
    <xf numFmtId="10" fontId="5" fillId="0" borderId="29" xfId="2" applyNumberFormat="1" applyFont="1" applyFill="1" applyBorder="1" applyAlignment="1">
      <alignment horizontal="right"/>
    </xf>
    <xf numFmtId="3" fontId="5" fillId="0" borderId="53" xfId="0" applyNumberFormat="1" applyFont="1" applyBorder="1" applyAlignment="1">
      <alignment horizontal="right"/>
    </xf>
    <xf numFmtId="3" fontId="24" fillId="0" borderId="53" xfId="0" applyNumberFormat="1" applyFont="1" applyBorder="1" applyAlignment="1">
      <alignment horizontal="right"/>
    </xf>
    <xf numFmtId="3" fontId="7" fillId="0" borderId="53" xfId="0" applyNumberFormat="1" applyFont="1" applyBorder="1" applyAlignment="1">
      <alignment horizontal="right"/>
    </xf>
    <xf numFmtId="169" fontId="20" fillId="0" borderId="53" xfId="0" applyNumberFormat="1" applyFont="1" applyBorder="1" applyAlignment="1">
      <alignment horizontal="right"/>
    </xf>
    <xf numFmtId="4" fontId="5" fillId="0" borderId="53" xfId="0" applyNumberFormat="1" applyFont="1" applyBorder="1" applyAlignment="1">
      <alignment horizontal="right"/>
    </xf>
    <xf numFmtId="168" fontId="5" fillId="0" borderId="53" xfId="0" applyNumberFormat="1" applyFont="1" applyBorder="1" applyAlignment="1">
      <alignment horizontal="right"/>
    </xf>
    <xf numFmtId="166" fontId="5" fillId="0" borderId="39" xfId="2" applyNumberFormat="1" applyFont="1" applyFill="1" applyBorder="1" applyAlignment="1">
      <alignment horizontal="right"/>
    </xf>
    <xf numFmtId="166" fontId="5" fillId="0" borderId="43" xfId="2" applyNumberFormat="1" applyFont="1" applyFill="1" applyBorder="1" applyAlignment="1">
      <alignment horizontal="right"/>
    </xf>
    <xf numFmtId="3" fontId="20" fillId="0" borderId="0" xfId="0" applyNumberFormat="1" applyFont="1"/>
    <xf numFmtId="172" fontId="0" fillId="0" borderId="0" xfId="0" applyNumberFormat="1"/>
    <xf numFmtId="9" fontId="20" fillId="0" borderId="0" xfId="2" applyFont="1"/>
    <xf numFmtId="9" fontId="5" fillId="0" borderId="9" xfId="2" applyFont="1" applyBorder="1" applyAlignment="1">
      <alignment horizontal="right"/>
    </xf>
    <xf numFmtId="173" fontId="0" fillId="0" borderId="0" xfId="0" applyNumberFormat="1"/>
    <xf numFmtId="172" fontId="5" fillId="0" borderId="0" xfId="0" applyNumberFormat="1" applyFont="1"/>
    <xf numFmtId="3" fontId="7" fillId="0" borderId="52" xfId="0" applyNumberFormat="1" applyFont="1" applyBorder="1" applyAlignment="1">
      <alignment horizontal="right"/>
    </xf>
    <xf numFmtId="3" fontId="25" fillId="0" borderId="22" xfId="0" applyNumberFormat="1" applyFont="1" applyBorder="1" applyAlignment="1">
      <alignment horizontal="right"/>
    </xf>
    <xf numFmtId="166" fontId="5" fillId="0" borderId="22" xfId="2" applyNumberFormat="1" applyFont="1" applyFill="1" applyBorder="1" applyAlignment="1">
      <alignment horizontal="right"/>
    </xf>
    <xf numFmtId="10" fontId="5" fillId="0" borderId="47" xfId="2" applyNumberFormat="1" applyFont="1" applyFill="1" applyBorder="1" applyAlignment="1">
      <alignment horizontal="right"/>
    </xf>
    <xf numFmtId="49" fontId="7" fillId="0" borderId="51" xfId="0" applyNumberFormat="1" applyFont="1" applyBorder="1" applyAlignment="1">
      <alignment horizontal="right"/>
    </xf>
    <xf numFmtId="49" fontId="7" fillId="0" borderId="17" xfId="0" applyNumberFormat="1" applyFont="1" applyBorder="1" applyAlignment="1">
      <alignment horizontal="right"/>
    </xf>
    <xf numFmtId="3" fontId="25" fillId="0" borderId="25" xfId="0" applyNumberFormat="1" applyFont="1" applyBorder="1" applyAlignment="1">
      <alignment horizontal="right"/>
    </xf>
    <xf numFmtId="9" fontId="5" fillId="0" borderId="25" xfId="2" applyFont="1" applyFill="1" applyBorder="1" applyAlignment="1">
      <alignment horizontal="right"/>
    </xf>
    <xf numFmtId="9" fontId="7" fillId="0" borderId="25" xfId="2" applyFont="1" applyFill="1" applyBorder="1" applyAlignment="1">
      <alignment horizontal="right"/>
    </xf>
    <xf numFmtId="9" fontId="18" fillId="0" borderId="25" xfId="2" applyFont="1" applyFill="1" applyBorder="1" applyAlignment="1">
      <alignment horizontal="right"/>
    </xf>
    <xf numFmtId="9" fontId="7" fillId="0" borderId="43" xfId="2" applyFont="1" applyFill="1" applyBorder="1" applyAlignment="1">
      <alignment horizontal="right"/>
    </xf>
    <xf numFmtId="9" fontId="20" fillId="0" borderId="25" xfId="2" applyFont="1" applyFill="1" applyBorder="1" applyAlignment="1">
      <alignment horizontal="right"/>
    </xf>
    <xf numFmtId="0" fontId="5" fillId="0" borderId="53" xfId="0" applyFont="1" applyBorder="1" applyAlignment="1">
      <alignment horizontal="right"/>
    </xf>
    <xf numFmtId="9" fontId="7" fillId="0" borderId="51" xfId="2" applyFont="1" applyFill="1" applyBorder="1" applyAlignment="1">
      <alignment horizontal="right"/>
    </xf>
    <xf numFmtId="9" fontId="7" fillId="0" borderId="17" xfId="2" applyFont="1" applyFill="1" applyBorder="1" applyAlignment="1">
      <alignment horizontal="right"/>
    </xf>
    <xf numFmtId="9" fontId="7" fillId="0" borderId="13" xfId="2" applyFont="1" applyFill="1" applyBorder="1" applyAlignment="1">
      <alignment horizontal="right"/>
    </xf>
    <xf numFmtId="9" fontId="5" fillId="0" borderId="17" xfId="2" applyFont="1" applyFill="1" applyBorder="1" applyAlignment="1">
      <alignment horizontal="right"/>
    </xf>
    <xf numFmtId="9" fontId="20" fillId="0" borderId="13" xfId="2" applyFont="1" applyFill="1" applyBorder="1" applyAlignment="1">
      <alignment horizontal="right"/>
    </xf>
    <xf numFmtId="9" fontId="5" fillId="0" borderId="34" xfId="2" applyFont="1" applyFill="1" applyBorder="1" applyAlignment="1">
      <alignment horizontal="right"/>
    </xf>
    <xf numFmtId="9" fontId="5" fillId="0" borderId="13" xfId="2" applyFont="1" applyFill="1" applyBorder="1" applyAlignment="1">
      <alignment horizontal="right"/>
    </xf>
    <xf numFmtId="9" fontId="5" fillId="0" borderId="57" xfId="2" applyFont="1" applyFill="1" applyBorder="1" applyAlignment="1">
      <alignment horizontal="right"/>
    </xf>
    <xf numFmtId="3" fontId="5" fillId="0" borderId="43" xfId="2" applyNumberFormat="1" applyFont="1" applyFill="1" applyBorder="1" applyAlignment="1">
      <alignment horizontal="right"/>
    </xf>
    <xf numFmtId="0" fontId="15" fillId="0" borderId="13" xfId="0" applyFont="1" applyBorder="1" applyAlignment="1">
      <alignment horizontal="right"/>
    </xf>
    <xf numFmtId="10" fontId="5" fillId="0" borderId="43" xfId="2" applyNumberFormat="1" applyFont="1" applyFill="1" applyBorder="1" applyAlignment="1">
      <alignment horizontal="right"/>
    </xf>
    <xf numFmtId="166" fontId="5" fillId="0" borderId="25" xfId="2" applyNumberFormat="1" applyFont="1" applyFill="1" applyBorder="1" applyAlignment="1">
      <alignment horizontal="right"/>
    </xf>
    <xf numFmtId="4" fontId="5" fillId="0" borderId="48" xfId="0" applyNumberFormat="1" applyFont="1" applyBorder="1" applyAlignment="1">
      <alignment horizontal="right"/>
    </xf>
    <xf numFmtId="3" fontId="20" fillId="0" borderId="53" xfId="0" applyNumberFormat="1" applyFont="1" applyBorder="1" applyAlignment="1">
      <alignment horizontal="right"/>
    </xf>
    <xf numFmtId="3" fontId="5" fillId="0" borderId="59" xfId="0" applyNumberFormat="1" applyFont="1" applyBorder="1" applyAlignment="1">
      <alignment horizontal="right"/>
    </xf>
    <xf numFmtId="3" fontId="5" fillId="0" borderId="60" xfId="0" applyNumberFormat="1" applyFont="1" applyBorder="1" applyAlignment="1">
      <alignment horizontal="right"/>
    </xf>
    <xf numFmtId="2" fontId="5" fillId="0" borderId="43" xfId="0" applyNumberFormat="1" applyFont="1" applyBorder="1" applyAlignment="1">
      <alignment horizontal="right"/>
    </xf>
    <xf numFmtId="4" fontId="5" fillId="0" borderId="25" xfId="0" applyNumberFormat="1" applyFont="1" applyBorder="1" applyAlignment="1">
      <alignment horizontal="right"/>
    </xf>
    <xf numFmtId="9" fontId="20" fillId="0" borderId="53" xfId="2" applyFont="1" applyBorder="1" applyAlignment="1">
      <alignment horizontal="right"/>
    </xf>
    <xf numFmtId="166" fontId="5" fillId="0" borderId="21" xfId="2" quotePrefix="1" applyNumberFormat="1" applyFont="1" applyFill="1" applyBorder="1" applyAlignment="1">
      <alignment horizontal="right"/>
    </xf>
    <xf numFmtId="166" fontId="5" fillId="0" borderId="48" xfId="2" applyNumberFormat="1" applyFont="1" applyFill="1" applyBorder="1" applyAlignment="1">
      <alignment horizontal="right"/>
    </xf>
    <xf numFmtId="166" fontId="5" fillId="0" borderId="34" xfId="0" applyNumberFormat="1" applyFont="1" applyBorder="1" applyAlignment="1">
      <alignment horizontal="right"/>
    </xf>
  </cellXfs>
  <cellStyles count="13">
    <cellStyle name="Comma 10" xfId="3" xr:uid="{7B840D6B-E212-476A-892F-49BFC5B15CC5}"/>
    <cellStyle name="Normal" xfId="0" builtinId="0"/>
    <cellStyle name="Normal 2" xfId="1" xr:uid="{00000000-0005-0000-0000-000001000000}"/>
    <cellStyle name="Normal 2 2" xfId="9" xr:uid="{A065A06D-EE05-427C-B4B0-F62A2CF5C7C7}"/>
    <cellStyle name="Normal 3" xfId="5" xr:uid="{2D9F46C6-8608-474C-BE03-EF386AA21740}"/>
    <cellStyle name="Normal 3 2" xfId="11" xr:uid="{696F68BB-B4DA-48FC-8193-DEAF42B24171}"/>
    <cellStyle name="Normal 4" xfId="8" xr:uid="{037219D1-7DCE-41B9-B81F-5A808F7598FC}"/>
    <cellStyle name="Normal 5" xfId="7" xr:uid="{0081305B-BEAB-4022-8102-6233D459F4EB}"/>
    <cellStyle name="Normal ej noll låst" xfId="4" xr:uid="{B30762EC-4A73-4656-81AF-8AE9537956DE}"/>
    <cellStyle name="Percent" xfId="2" builtinId="5"/>
    <cellStyle name="Percent 2" xfId="6" xr:uid="{54FBC371-C10E-4183-9703-2DE248191432}"/>
    <cellStyle name="Percent 2 2" xfId="12" xr:uid="{AF1017CF-4C9C-464C-9A65-D751AA879AE9}"/>
    <cellStyle name="Percent 3" xfId="10" xr:uid="{B856FDA8-D25D-4829-89F1-E62791CCF162}"/>
  </cellStyles>
  <dxfs count="0"/>
  <tableStyles count="1" defaultTableStyle="TableStyleMedium9" defaultPivotStyle="PivotStyleLight16">
    <tableStyle name="Invisible" pivot="0" table="0" count="0" xr9:uid="{EC26C726-FF25-413C-BEB5-8DBBEFD0451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Controllermaterial\3.%20Kvartalsdata\Del&#229;rsrapport%20i%20Excel2Word\Del&#229;rsrapport%20i%20Excel2Word%20Mall.xlsm" TargetMode="External"/><Relationship Id="rId1" Type="http://schemas.openxmlformats.org/officeDocument/2006/relationships/externalLinkPath" Target="/Controllermaterial/3.%20Kvartalsdata/Del&#229;rsrapport%20i%20Excel2Word/Del&#229;rsrapport%20i%20Excel2Word%20Mal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n"/>
      <sheetName val="Meny"/>
      <sheetName val="Data"/>
      <sheetName val="Design"/>
      <sheetName val="Siffror till text"/>
      <sheetName val="Förstasidan"/>
      <sheetName val="Förstasidan ENG"/>
      <sheetName val="Kvartalsöversikt"/>
      <sheetName val="Kvartalsöversikt ENG"/>
      <sheetName val="Framvagn periodtabeller"/>
      <sheetName val="Framvagn periodtabeller ENG"/>
      <sheetName val="Marknadsandelar 1"/>
      <sheetName val="Marknadsandelar 1 ENG"/>
      <sheetName val="Marknadsandelar 2"/>
      <sheetName val="Framvagn Diagram"/>
      <sheetName val="Marknadsandelar 2 ENG"/>
      <sheetName val="Framvagn UB-tabeller"/>
      <sheetName val="Framvagn UB-tabeller ENG"/>
      <sheetName val="Finansiell ställning"/>
      <sheetName val="Kapitalöverskott ENG"/>
      <sheetName val="Finansiell ställning ENG"/>
      <sheetName val="RR Konc"/>
      <sheetName val="RR Konc ENG"/>
      <sheetName val="BR Konc"/>
      <sheetName val="BR Konc ENG"/>
      <sheetName val="Förändr EK Konc"/>
      <sheetName val="Förändr EK Konc ENG"/>
      <sheetName val="KF Konc"/>
      <sheetName val="KF Konc ENG"/>
      <sheetName val="RR Moder"/>
      <sheetName val="RR Moder ENG"/>
      <sheetName val="BR Moder"/>
      <sheetName val="BR Moder ENG"/>
      <sheetName val="Övergångstabell IFRS 16"/>
      <sheetName val="Övergångstabell IFRS 16 ENG"/>
      <sheetName val="Not1- Intäkter avtal med kunder"/>
      <sheetName val="Not1- Intäkter avtal med ku ENG"/>
      <sheetName val="Not 2- Provisionsnetto"/>
      <sheetName val="Not 2- Provisionsnetto ENG"/>
      <sheetName val="Not 3- Räntenetto"/>
      <sheetName val="Not 3- Räntenetto ENG"/>
      <sheetName val="Not 6 Fin instr 1"/>
      <sheetName val="Not 6 Fin instr 1 ENG"/>
      <sheetName val="Not 6 Fin instr 2"/>
      <sheetName val="Not 6 Fin instr 2 ENG"/>
      <sheetName val="Not 7 Kapitalkrav Fin kong"/>
      <sheetName val="Not 7 Kapitalkrav Fin kong ENG"/>
      <sheetName val="Not 8 Kapitalkrav Kons sit del1"/>
      <sheetName val="Not 8 Kapitalkrav Kons sit ENG1"/>
      <sheetName val="Not 8 Kapitalkrav Kons sit del2"/>
      <sheetName val="Not 8 Kapitalkrav Kons sit ENG2"/>
      <sheetName val="Nyckeltal Solo"/>
      <sheetName val="Nyckeltal Solo ENG"/>
      <sheetName val="Not 8 Nyckeltal"/>
      <sheetName val="Not 8 Nyckeltal ENG"/>
      <sheetName val="Not 8 Pelare 2"/>
      <sheetName val="Not 8 Pelare 2 "/>
      <sheetName val="Not 8 Info likviditet"/>
      <sheetName val="Not 8 Info likviditet ENG"/>
    </sheetNames>
    <sheetDataSet>
      <sheetData sheetId="0" refreshError="1"/>
      <sheetData sheetId="1" refreshError="1"/>
      <sheetData sheetId="2">
        <row r="3">
          <cell r="C3" t="str">
            <v>Periodkod</v>
          </cell>
          <cell r="D3" t="str">
            <v>Q4 2013</v>
          </cell>
          <cell r="E3" t="str">
            <v>Q1 2014</v>
          </cell>
          <cell r="F3" t="str">
            <v>Q2 2014</v>
          </cell>
          <cell r="G3" t="str">
            <v>Q3 2014</v>
          </cell>
          <cell r="H3" t="str">
            <v>Q4 2014</v>
          </cell>
          <cell r="I3" t="str">
            <v>Q1 2015</v>
          </cell>
          <cell r="J3" t="str">
            <v>Q2 2015</v>
          </cell>
          <cell r="K3" t="str">
            <v>Q3 2015</v>
          </cell>
          <cell r="L3" t="str">
            <v>Q4 2015</v>
          </cell>
          <cell r="M3" t="str">
            <v>Q1 2016</v>
          </cell>
          <cell r="N3" t="str">
            <v>Q2 2016</v>
          </cell>
          <cell r="O3" t="str">
            <v>Q3 2016</v>
          </cell>
          <cell r="P3" t="str">
            <v>Q4 2016</v>
          </cell>
          <cell r="Q3" t="str">
            <v>Q1 2017</v>
          </cell>
          <cell r="R3" t="str">
            <v>Q2 2017</v>
          </cell>
          <cell r="S3" t="str">
            <v>Q3 2017</v>
          </cell>
          <cell r="T3" t="str">
            <v>Q4 2017</v>
          </cell>
          <cell r="U3" t="str">
            <v>Q1 2018</v>
          </cell>
          <cell r="V3" t="str">
            <v>Q2 2018</v>
          </cell>
          <cell r="W3" t="str">
            <v>Q3 2018</v>
          </cell>
          <cell r="X3" t="str">
            <v>Q4 2018</v>
          </cell>
          <cell r="Y3" t="str">
            <v>Q1 2019</v>
          </cell>
          <cell r="Z3" t="str">
            <v>Q2 2019</v>
          </cell>
          <cell r="AA3" t="str">
            <v>Q3 2019</v>
          </cell>
          <cell r="AB3" t="str">
            <v>Q4 2019</v>
          </cell>
          <cell r="AC3" t="str">
            <v>Q1 2020</v>
          </cell>
          <cell r="AD3" t="str">
            <v>Q2 2020</v>
          </cell>
          <cell r="AE3" t="str">
            <v>Q3 2020</v>
          </cell>
          <cell r="AF3" t="str">
            <v>Q4 2020</v>
          </cell>
          <cell r="AG3" t="str">
            <v>Q1 2021</v>
          </cell>
          <cell r="AH3" t="str">
            <v>Q2 2021</v>
          </cell>
          <cell r="AI3" t="str">
            <v>Q3 2021</v>
          </cell>
        </row>
        <row r="5">
          <cell r="A5" t="str">
            <v>Bokslutsdatum</v>
          </cell>
          <cell r="C5" t="str">
            <v>Bokslutsdatum</v>
          </cell>
          <cell r="P5">
            <v>42735</v>
          </cell>
          <cell r="Q5">
            <v>42825</v>
          </cell>
          <cell r="R5">
            <v>42916</v>
          </cell>
          <cell r="S5">
            <v>43008</v>
          </cell>
          <cell r="T5">
            <v>43100</v>
          </cell>
          <cell r="U5">
            <v>43190</v>
          </cell>
          <cell r="V5">
            <v>43281</v>
          </cell>
          <cell r="W5">
            <v>43373</v>
          </cell>
          <cell r="X5">
            <v>43465</v>
          </cell>
          <cell r="Y5">
            <v>43555</v>
          </cell>
          <cell r="Z5">
            <v>43646</v>
          </cell>
          <cell r="AA5">
            <v>43738</v>
          </cell>
          <cell r="AB5">
            <v>43830</v>
          </cell>
          <cell r="AC5">
            <v>43921</v>
          </cell>
          <cell r="AD5">
            <v>44012</v>
          </cell>
          <cell r="AE5">
            <v>44104</v>
          </cell>
          <cell r="AF5">
            <v>44196</v>
          </cell>
          <cell r="AG5">
            <v>44286</v>
          </cell>
          <cell r="AH5">
            <v>44377</v>
          </cell>
          <cell r="AI5">
            <v>44469</v>
          </cell>
        </row>
        <row r="6">
          <cell r="A6" t="str">
            <v>Rapportdatum</v>
          </cell>
          <cell r="C6" t="str">
            <v>Rapportdatum</v>
          </cell>
          <cell r="P6">
            <v>42754</v>
          </cell>
          <cell r="Q6">
            <v>42845</v>
          </cell>
          <cell r="R6">
            <v>42929</v>
          </cell>
          <cell r="S6">
            <v>43027</v>
          </cell>
          <cell r="T6">
            <v>43118</v>
          </cell>
          <cell r="U6">
            <v>43208</v>
          </cell>
          <cell r="V6">
            <v>43293</v>
          </cell>
          <cell r="W6">
            <v>43391</v>
          </cell>
          <cell r="X6">
            <v>43482</v>
          </cell>
          <cell r="Y6">
            <v>43571</v>
          </cell>
          <cell r="Z6">
            <v>43657</v>
          </cell>
          <cell r="AA6">
            <v>43755</v>
          </cell>
          <cell r="AB6">
            <v>43851</v>
          </cell>
          <cell r="AC6">
            <v>43942</v>
          </cell>
          <cell r="AD6">
            <v>44026</v>
          </cell>
          <cell r="AE6">
            <v>44123</v>
          </cell>
          <cell r="AF6">
            <v>44217</v>
          </cell>
          <cell r="AG6">
            <v>44306</v>
          </cell>
          <cell r="AH6">
            <v>44391</v>
          </cell>
          <cell r="AI6">
            <v>44487</v>
          </cell>
        </row>
        <row r="8">
          <cell r="C8" t="str">
            <v>Marknadsandelar</v>
          </cell>
        </row>
        <row r="9">
          <cell r="C9" t="str">
            <v>Nasdaq Stockholm och First North:</v>
          </cell>
        </row>
        <row r="10">
          <cell r="A10" t="str">
            <v>MarkAndAvslutQ</v>
          </cell>
          <cell r="C10" t="str">
            <v>Antal avslut, % - kvartal</v>
          </cell>
          <cell r="H10">
            <v>7.5</v>
          </cell>
          <cell r="I10">
            <v>9.5</v>
          </cell>
          <cell r="J10">
            <v>10.3</v>
          </cell>
          <cell r="K10">
            <v>10.8</v>
          </cell>
          <cell r="L10">
            <v>13.1</v>
          </cell>
          <cell r="M10">
            <v>11.3</v>
          </cell>
          <cell r="N10">
            <v>13</v>
          </cell>
          <cell r="O10">
            <v>15.2</v>
          </cell>
          <cell r="P10">
            <v>14.6</v>
          </cell>
          <cell r="Q10">
            <v>15.1</v>
          </cell>
          <cell r="R10">
            <v>12.9</v>
          </cell>
          <cell r="S10">
            <v>14.3</v>
          </cell>
          <cell r="T10">
            <v>14.4</v>
          </cell>
          <cell r="U10">
            <v>12</v>
          </cell>
          <cell r="V10">
            <v>10.9</v>
          </cell>
          <cell r="W10">
            <v>13.2</v>
          </cell>
          <cell r="X10">
            <v>11.7</v>
          </cell>
          <cell r="Y10">
            <v>13.2</v>
          </cell>
          <cell r="Z10">
            <v>13.3</v>
          </cell>
          <cell r="AA10">
            <v>13.6</v>
          </cell>
          <cell r="AB10">
            <v>14.54</v>
          </cell>
          <cell r="AC10">
            <v>16.600000000000001</v>
          </cell>
          <cell r="AD10">
            <v>17.5</v>
          </cell>
          <cell r="AE10">
            <v>19.899999999999999</v>
          </cell>
          <cell r="AF10">
            <v>18.3</v>
          </cell>
          <cell r="AG10">
            <v>20.7</v>
          </cell>
          <cell r="AH10">
            <v>19.3</v>
          </cell>
          <cell r="AI10">
            <v>19.7</v>
          </cell>
        </row>
        <row r="11">
          <cell r="A11" t="str">
            <v>MarkAndAvslutYTD</v>
          </cell>
          <cell r="C11" t="str">
            <v>Antal avslut, % - YTD</v>
          </cell>
          <cell r="H11">
            <v>7.5</v>
          </cell>
          <cell r="I11">
            <v>9.5</v>
          </cell>
          <cell r="J11">
            <v>9.9</v>
          </cell>
          <cell r="K11">
            <v>10.199999999999999</v>
          </cell>
          <cell r="L11">
            <v>10.9</v>
          </cell>
          <cell r="M11">
            <v>11.3</v>
          </cell>
          <cell r="N11">
            <v>12.2</v>
          </cell>
          <cell r="O11">
            <v>13.2</v>
          </cell>
          <cell r="P11">
            <v>13.5</v>
          </cell>
          <cell r="Q11">
            <v>15.1</v>
          </cell>
          <cell r="R11">
            <v>14</v>
          </cell>
          <cell r="S11">
            <v>14.1</v>
          </cell>
          <cell r="T11">
            <v>14.2</v>
          </cell>
          <cell r="U11">
            <v>12</v>
          </cell>
          <cell r="V11">
            <v>11.5</v>
          </cell>
          <cell r="W11">
            <v>12</v>
          </cell>
          <cell r="X11">
            <v>11.9</v>
          </cell>
          <cell r="Y11">
            <v>13.2</v>
          </cell>
          <cell r="Z11">
            <v>13.2</v>
          </cell>
          <cell r="AA11">
            <v>13.4</v>
          </cell>
          <cell r="AB11">
            <v>13.7</v>
          </cell>
          <cell r="AC11">
            <v>16.600000000000001</v>
          </cell>
          <cell r="AD11">
            <v>17</v>
          </cell>
          <cell r="AE11">
            <v>18</v>
          </cell>
          <cell r="AF11">
            <v>18.100000000000001</v>
          </cell>
          <cell r="AG11">
            <v>20.7</v>
          </cell>
          <cell r="AH11">
            <v>20</v>
          </cell>
          <cell r="AI11">
            <v>19.899999999999999</v>
          </cell>
        </row>
        <row r="12">
          <cell r="A12" t="str">
            <v>MarkAndAvslut4Q</v>
          </cell>
          <cell r="C12" t="str">
            <v>Antal avslut, % - 4Q</v>
          </cell>
          <cell r="H12">
            <v>7.6</v>
          </cell>
          <cell r="I12">
            <v>8.1</v>
          </cell>
          <cell r="J12">
            <v>8.9</v>
          </cell>
          <cell r="K12">
            <v>9.6</v>
          </cell>
          <cell r="L12">
            <v>10.9</v>
          </cell>
          <cell r="M12">
            <v>11.4</v>
          </cell>
          <cell r="N12">
            <v>12.1</v>
          </cell>
          <cell r="O12">
            <v>13.2</v>
          </cell>
          <cell r="P12">
            <v>13.5</v>
          </cell>
          <cell r="Q12">
            <v>14.5</v>
          </cell>
          <cell r="R12">
            <v>14.5</v>
          </cell>
          <cell r="S12">
            <v>14.2</v>
          </cell>
          <cell r="T12">
            <v>14.2</v>
          </cell>
          <cell r="U12">
            <v>13.4</v>
          </cell>
          <cell r="V12">
            <v>12.9</v>
          </cell>
          <cell r="W12">
            <v>12.6</v>
          </cell>
          <cell r="X12">
            <v>11.9</v>
          </cell>
          <cell r="Y12">
            <v>12.2</v>
          </cell>
          <cell r="Z12">
            <v>12.8</v>
          </cell>
          <cell r="AA12">
            <v>13</v>
          </cell>
          <cell r="AB12">
            <v>13.7</v>
          </cell>
          <cell r="AC12">
            <v>14.5</v>
          </cell>
          <cell r="AD12">
            <v>15.6</v>
          </cell>
          <cell r="AE12">
            <v>17.100000000000001</v>
          </cell>
          <cell r="AF12">
            <v>18.100000000000001</v>
          </cell>
          <cell r="AG12">
            <v>19.100000000000001</v>
          </cell>
        </row>
        <row r="13">
          <cell r="A13" t="str">
            <v>MarkAndOmsQ</v>
          </cell>
          <cell r="C13" t="str">
            <v>Omsättning, % - kvartal</v>
          </cell>
          <cell r="H13">
            <v>4.3</v>
          </cell>
          <cell r="I13">
            <v>4.9000000000000004</v>
          </cell>
          <cell r="J13">
            <v>5.3</v>
          </cell>
          <cell r="K13">
            <v>6.6</v>
          </cell>
          <cell r="L13">
            <v>8.6999999999999993</v>
          </cell>
          <cell r="M13">
            <v>6.6</v>
          </cell>
          <cell r="N13">
            <v>6.6</v>
          </cell>
          <cell r="O13">
            <v>7.5</v>
          </cell>
          <cell r="P13">
            <v>6.5</v>
          </cell>
          <cell r="Q13">
            <v>6.5</v>
          </cell>
          <cell r="R13">
            <v>5.3</v>
          </cell>
          <cell r="S13">
            <v>6.3</v>
          </cell>
          <cell r="T13">
            <v>5.5</v>
          </cell>
          <cell r="U13">
            <v>5.6</v>
          </cell>
          <cell r="V13">
            <v>4.8</v>
          </cell>
          <cell r="W13">
            <v>6.1</v>
          </cell>
          <cell r="X13">
            <v>5.6</v>
          </cell>
          <cell r="Y13">
            <v>5.7</v>
          </cell>
          <cell r="Z13">
            <v>4.8</v>
          </cell>
          <cell r="AA13">
            <v>5.2</v>
          </cell>
          <cell r="AB13">
            <v>6</v>
          </cell>
          <cell r="AC13">
            <v>7.6</v>
          </cell>
          <cell r="AD13">
            <v>8.4</v>
          </cell>
          <cell r="AE13">
            <v>9.6</v>
          </cell>
          <cell r="AF13">
            <v>8.4</v>
          </cell>
          <cell r="AG13">
            <v>9.1999999999999993</v>
          </cell>
          <cell r="AH13">
            <v>8.3000000000000007</v>
          </cell>
          <cell r="AI13">
            <v>9.5</v>
          </cell>
        </row>
        <row r="14">
          <cell r="A14" t="str">
            <v>MarkAndOmsYTD</v>
          </cell>
          <cell r="C14" t="str">
            <v>Omsättning, % - YTD</v>
          </cell>
          <cell r="H14">
            <v>4.2</v>
          </cell>
          <cell r="I14">
            <v>4.9000000000000004</v>
          </cell>
          <cell r="J14">
            <v>5.0999999999999996</v>
          </cell>
          <cell r="K14">
            <v>5.6</v>
          </cell>
          <cell r="L14">
            <v>6.4</v>
          </cell>
          <cell r="M14">
            <v>6.6</v>
          </cell>
          <cell r="N14">
            <v>6.6</v>
          </cell>
          <cell r="O14">
            <v>6.9</v>
          </cell>
          <cell r="P14">
            <v>6.8</v>
          </cell>
          <cell r="Q14">
            <v>6.5</v>
          </cell>
          <cell r="R14">
            <v>5.9</v>
          </cell>
          <cell r="S14">
            <v>6.1</v>
          </cell>
          <cell r="T14">
            <v>5.9</v>
          </cell>
          <cell r="U14">
            <v>5.6</v>
          </cell>
          <cell r="V14">
            <v>5.2</v>
          </cell>
          <cell r="W14">
            <v>5.5</v>
          </cell>
          <cell r="X14">
            <v>5.5</v>
          </cell>
          <cell r="Y14">
            <v>5.7</v>
          </cell>
          <cell r="Z14">
            <v>5.3</v>
          </cell>
          <cell r="AA14">
            <v>5.2</v>
          </cell>
          <cell r="AB14">
            <v>5.4</v>
          </cell>
          <cell r="AC14">
            <v>7.6</v>
          </cell>
          <cell r="AD14">
            <v>8</v>
          </cell>
          <cell r="AE14">
            <v>8.5</v>
          </cell>
          <cell r="AF14">
            <v>8.5</v>
          </cell>
          <cell r="AG14">
            <v>9.1999999999999993</v>
          </cell>
          <cell r="AH14">
            <v>8.6999999999999993</v>
          </cell>
          <cell r="AI14">
            <v>9</v>
          </cell>
        </row>
        <row r="15">
          <cell r="A15" t="str">
            <v>MarkAndOms4Q</v>
          </cell>
          <cell r="C15" t="str">
            <v>Omsättning, % - 4Q</v>
          </cell>
          <cell r="H15">
            <v>4.2</v>
          </cell>
          <cell r="I15">
            <v>4.4000000000000004</v>
          </cell>
          <cell r="J15">
            <v>4.7</v>
          </cell>
          <cell r="K15">
            <v>5.3</v>
          </cell>
          <cell r="L15">
            <v>6.4</v>
          </cell>
          <cell r="M15">
            <v>6.8</v>
          </cell>
          <cell r="N15">
            <v>7.1</v>
          </cell>
          <cell r="O15">
            <v>7.3</v>
          </cell>
          <cell r="P15">
            <v>6.8</v>
          </cell>
          <cell r="Q15">
            <v>6.8</v>
          </cell>
          <cell r="R15">
            <v>6.4</v>
          </cell>
          <cell r="S15">
            <v>6.2</v>
          </cell>
          <cell r="T15">
            <v>5.9</v>
          </cell>
          <cell r="U15">
            <v>5.7</v>
          </cell>
          <cell r="V15">
            <v>5.6</v>
          </cell>
          <cell r="W15">
            <v>5.5</v>
          </cell>
          <cell r="X15">
            <v>5.5</v>
          </cell>
          <cell r="Y15">
            <v>5.6</v>
          </cell>
          <cell r="Z15">
            <v>5.6</v>
          </cell>
          <cell r="AA15">
            <v>5.3</v>
          </cell>
          <cell r="AB15">
            <v>5.4</v>
          </cell>
          <cell r="AC15">
            <v>5.9</v>
          </cell>
          <cell r="AD15">
            <v>6.8</v>
          </cell>
          <cell r="AE15">
            <v>7.9</v>
          </cell>
          <cell r="AF15">
            <v>8.5</v>
          </cell>
          <cell r="AG15">
            <v>8.9</v>
          </cell>
          <cell r="AI15">
            <v>7.9</v>
          </cell>
        </row>
        <row r="17">
          <cell r="C17" t="str">
            <v>Fondmarknaden (exkl PPM)</v>
          </cell>
          <cell r="AC17" t="str">
            <v>andel av utflöde</v>
          </cell>
        </row>
        <row r="18">
          <cell r="A18" t="str">
            <v>MarkAndNysparQ</v>
          </cell>
          <cell r="C18" t="str">
            <v>Nysparande, % - kvartal</v>
          </cell>
          <cell r="AC18">
            <v>9.4156338942063407</v>
          </cell>
          <cell r="AD18">
            <v>19.124073718035401</v>
          </cell>
          <cell r="AE18">
            <v>17.1850711288198</v>
          </cell>
          <cell r="AF18">
            <v>17.823154447843901</v>
          </cell>
          <cell r="AG18">
            <v>27</v>
          </cell>
          <cell r="AH18">
            <v>17.4411301110758</v>
          </cell>
          <cell r="AI18">
            <v>21.287539423127601</v>
          </cell>
        </row>
        <row r="19">
          <cell r="A19" t="str">
            <v>MarkAndNysparYTD</v>
          </cell>
          <cell r="C19" t="str">
            <v>Nysparande, % - YTD</v>
          </cell>
          <cell r="AF19">
            <v>32.918576640191098</v>
          </cell>
          <cell r="AG19">
            <v>27</v>
          </cell>
          <cell r="AH19">
            <v>22</v>
          </cell>
          <cell r="AI19">
            <v>22</v>
          </cell>
        </row>
        <row r="20">
          <cell r="A20" t="str">
            <v>MarkAndNyspar4Q</v>
          </cell>
          <cell r="C20" t="str">
            <v>Nysparande, % - 4Q</v>
          </cell>
          <cell r="AF20">
            <v>32.918576640191098</v>
          </cell>
        </row>
        <row r="22">
          <cell r="C22" t="str">
            <v>Nettoinflöde (MSEK) - kvartal</v>
          </cell>
        </row>
        <row r="23">
          <cell r="A23" t="str">
            <v>NettoinflGrundQ</v>
          </cell>
          <cell r="C23" t="str">
            <v>Grunderbjudande</v>
          </cell>
          <cell r="E23">
            <v>5522</v>
          </cell>
          <cell r="F23">
            <v>4040</v>
          </cell>
          <cell r="G23">
            <v>4561</v>
          </cell>
          <cell r="H23">
            <v>5939</v>
          </cell>
          <cell r="I23">
            <v>7939.7</v>
          </cell>
          <cell r="J23">
            <v>4022</v>
          </cell>
          <cell r="K23">
            <v>4154</v>
          </cell>
          <cell r="L23">
            <v>4123</v>
          </cell>
          <cell r="M23">
            <v>4525</v>
          </cell>
          <cell r="N23">
            <v>4958.2</v>
          </cell>
          <cell r="O23">
            <v>5102</v>
          </cell>
          <cell r="P23">
            <v>5457.9830662599989</v>
          </cell>
          <cell r="Q23">
            <v>7910.481252979991</v>
          </cell>
          <cell r="R23">
            <v>7206.4285610899933</v>
          </cell>
          <cell r="S23">
            <v>5353.7595602800056</v>
          </cell>
          <cell r="T23">
            <v>6601.4229058099918</v>
          </cell>
          <cell r="U23">
            <v>7073.0152325099989</v>
          </cell>
          <cell r="V23">
            <v>5121.0328322200148</v>
          </cell>
          <cell r="W23">
            <v>7179.5046112499977</v>
          </cell>
          <cell r="X23">
            <v>6881.4409721222528</v>
          </cell>
          <cell r="Y23">
            <v>7298.7897590299917</v>
          </cell>
          <cell r="Z23">
            <v>7188.4541603099869</v>
          </cell>
          <cell r="AA23">
            <v>8627.7539306400067</v>
          </cell>
          <cell r="AB23">
            <v>7966.8103195600088</v>
          </cell>
          <cell r="AC23">
            <v>19331.53934658003</v>
          </cell>
          <cell r="AD23">
            <v>13061.571032170004</v>
          </cell>
          <cell r="AE23">
            <v>13754.462136540018</v>
          </cell>
          <cell r="AF23">
            <v>17513.917525589994</v>
          </cell>
          <cell r="AG23">
            <v>28517.78427321999</v>
          </cell>
          <cell r="AH23">
            <v>18113.585649739976</v>
          </cell>
          <cell r="AI23">
            <v>16283.418950009976</v>
          </cell>
        </row>
        <row r="24">
          <cell r="A24" t="str">
            <v>NettoinflPBQ</v>
          </cell>
          <cell r="C24" t="str">
            <v>Private Banking</v>
          </cell>
          <cell r="I24">
            <v>1945.3</v>
          </cell>
          <cell r="J24">
            <v>324</v>
          </cell>
          <cell r="K24">
            <v>694</v>
          </cell>
          <cell r="L24">
            <v>1359</v>
          </cell>
          <cell r="M24">
            <v>322</v>
          </cell>
          <cell r="N24">
            <v>4344.8</v>
          </cell>
          <cell r="O24">
            <v>743</v>
          </cell>
          <cell r="P24">
            <v>617.70146507999539</v>
          </cell>
          <cell r="Q24">
            <v>591.90536028000236</v>
          </cell>
          <cell r="R24">
            <v>975.15754036999829</v>
          </cell>
          <cell r="S24">
            <v>379.1225933300023</v>
          </cell>
          <cell r="T24">
            <v>-2880.7412556099889</v>
          </cell>
          <cell r="U24">
            <v>727.7579353399982</v>
          </cell>
          <cell r="V24">
            <v>-289.48889455001068</v>
          </cell>
          <cell r="W24">
            <v>766.06802648000121</v>
          </cell>
          <cell r="X24">
            <v>-478.94586431000141</v>
          </cell>
          <cell r="Y24">
            <v>271.91807034000215</v>
          </cell>
          <cell r="Z24">
            <v>1094.6512279400024</v>
          </cell>
          <cell r="AA24">
            <v>1285.1164688700082</v>
          </cell>
          <cell r="AB24">
            <v>-948.38430529999778</v>
          </cell>
          <cell r="AC24">
            <v>2505.4537160399723</v>
          </cell>
          <cell r="AD24">
            <v>6229.9764997300026</v>
          </cell>
          <cell r="AE24">
            <v>2130.4960298799824</v>
          </cell>
          <cell r="AF24">
            <v>1177.160582350007</v>
          </cell>
          <cell r="AG24">
            <v>1846.9344080899828</v>
          </cell>
          <cell r="AH24">
            <v>4795.5980384900013</v>
          </cell>
          <cell r="AI24">
            <v>2071.9519453000039</v>
          </cell>
        </row>
        <row r="25">
          <cell r="A25" t="str">
            <v>NettoinflProQ</v>
          </cell>
          <cell r="C25" t="str">
            <v>Pro</v>
          </cell>
          <cell r="I25">
            <v>133</v>
          </cell>
          <cell r="J25">
            <v>26</v>
          </cell>
          <cell r="K25">
            <v>160</v>
          </cell>
          <cell r="L25">
            <v>308</v>
          </cell>
          <cell r="M25">
            <v>108</v>
          </cell>
          <cell r="N25">
            <v>128</v>
          </cell>
          <cell r="O25">
            <v>77</v>
          </cell>
          <cell r="P25">
            <v>138.16671528000077</v>
          </cell>
          <cell r="Q25">
            <v>118.94651649000014</v>
          </cell>
          <cell r="R25">
            <v>528.93706666000014</v>
          </cell>
          <cell r="S25">
            <v>166.42519941000012</v>
          </cell>
          <cell r="T25">
            <v>-171.61604328000061</v>
          </cell>
          <cell r="U25">
            <v>163.22551284999992</v>
          </cell>
          <cell r="V25">
            <v>12.840283020000996</v>
          </cell>
          <cell r="W25">
            <v>433.51136703000032</v>
          </cell>
          <cell r="X25">
            <v>-39.550169870000076</v>
          </cell>
          <cell r="Y25">
            <v>-1.2842397299994133</v>
          </cell>
          <cell r="Z25">
            <v>-15.522343329999558</v>
          </cell>
          <cell r="AA25">
            <v>26.675938240000448</v>
          </cell>
          <cell r="AB25">
            <v>-203.27792310999948</v>
          </cell>
          <cell r="AC25">
            <v>48.52343778999775</v>
          </cell>
          <cell r="AD25">
            <v>87.043512589999736</v>
          </cell>
          <cell r="AE25">
            <v>444.51828604000065</v>
          </cell>
          <cell r="AF25">
            <v>-18.602731850001156</v>
          </cell>
          <cell r="AG25">
            <v>180.09631457000171</v>
          </cell>
          <cell r="AH25">
            <v>34.612049869998991</v>
          </cell>
          <cell r="AI25">
            <v>92.90199836999966</v>
          </cell>
        </row>
        <row r="26">
          <cell r="A26" t="str">
            <v>NettoinflTotaltQ</v>
          </cell>
          <cell r="C26" t="str">
            <v>Totalt</v>
          </cell>
          <cell r="E26">
            <v>5522</v>
          </cell>
          <cell r="F26">
            <v>4040</v>
          </cell>
          <cell r="G26">
            <v>4561</v>
          </cell>
          <cell r="H26">
            <v>5939</v>
          </cell>
          <cell r="I26">
            <v>10018</v>
          </cell>
          <cell r="J26">
            <v>4372</v>
          </cell>
          <cell r="K26">
            <v>5008</v>
          </cell>
          <cell r="L26">
            <v>5790</v>
          </cell>
          <cell r="M26">
            <v>4955</v>
          </cell>
          <cell r="N26">
            <v>9431</v>
          </cell>
          <cell r="O26">
            <v>5922</v>
          </cell>
          <cell r="P26">
            <v>6213.8512466199954</v>
          </cell>
          <cell r="Q26">
            <v>8621.3331297499935</v>
          </cell>
          <cell r="R26">
            <v>8710.5231681199912</v>
          </cell>
          <cell r="S26">
            <v>5899.3073530200081</v>
          </cell>
          <cell r="T26">
            <v>3549.0656069200027</v>
          </cell>
          <cell r="U26">
            <v>7963.9986806999968</v>
          </cell>
          <cell r="V26">
            <v>4844.3842206900053</v>
          </cell>
          <cell r="W26">
            <v>8379.0840047599995</v>
          </cell>
          <cell r="X26">
            <v>6362.9449379422513</v>
          </cell>
          <cell r="Y26">
            <v>7569.423589639995</v>
          </cell>
          <cell r="Z26">
            <v>8267.5830449199893</v>
          </cell>
          <cell r="AA26">
            <v>9939.5463377500146</v>
          </cell>
          <cell r="AB26">
            <v>6815.1480911500112</v>
          </cell>
          <cell r="AC26">
            <v>21885.516500410002</v>
          </cell>
          <cell r="AD26">
            <v>19378.591044490007</v>
          </cell>
          <cell r="AE26">
            <v>16329.47645246</v>
          </cell>
          <cell r="AF26">
            <v>18672.475376089998</v>
          </cell>
          <cell r="AG26">
            <v>30544.814995879973</v>
          </cell>
          <cell r="AH26">
            <v>22943.795738099976</v>
          </cell>
          <cell r="AI26">
            <v>18448.272893679979</v>
          </cell>
        </row>
        <row r="28">
          <cell r="A28" t="str">
            <v>NettoinflBankQ</v>
          </cell>
          <cell r="C28" t="str">
            <v>Aktie-, fond-, och sparkonton</v>
          </cell>
          <cell r="I28">
            <v>7122</v>
          </cell>
          <cell r="J28">
            <v>3053</v>
          </cell>
          <cell r="K28">
            <v>3720</v>
          </cell>
          <cell r="L28">
            <v>5233</v>
          </cell>
          <cell r="M28">
            <v>3295</v>
          </cell>
          <cell r="N28">
            <v>8105</v>
          </cell>
          <cell r="O28">
            <v>4370</v>
          </cell>
          <cell r="P28">
            <v>5646.7112601899962</v>
          </cell>
          <cell r="Q28">
            <v>6160.669743749997</v>
          </cell>
          <cell r="R28">
            <v>6795.2335723099923</v>
          </cell>
          <cell r="S28">
            <v>5003.8212012300091</v>
          </cell>
          <cell r="T28">
            <v>3447.3319972600007</v>
          </cell>
          <cell r="U28">
            <v>5841.8601545299989</v>
          </cell>
          <cell r="V28">
            <v>4041.4614337100047</v>
          </cell>
          <cell r="W28">
            <v>6652.744430990002</v>
          </cell>
          <cell r="X28">
            <v>7219.0273015222529</v>
          </cell>
          <cell r="Y28">
            <v>5341.0048613799963</v>
          </cell>
          <cell r="Z28">
            <v>6480.9065574299893</v>
          </cell>
          <cell r="AA28">
            <v>7696.6010882100145</v>
          </cell>
          <cell r="AB28">
            <v>6052.850861140013</v>
          </cell>
          <cell r="AC28">
            <v>16943.122822969999</v>
          </cell>
          <cell r="AD28">
            <v>16350.369604710011</v>
          </cell>
          <cell r="AE28">
            <v>12641.562522230004</v>
          </cell>
          <cell r="AF28">
            <v>16100.461881650004</v>
          </cell>
          <cell r="AG28">
            <v>23938.66993000999</v>
          </cell>
          <cell r="AH28">
            <v>15792.312700639981</v>
          </cell>
          <cell r="AI28">
            <v>14006.947418109983</v>
          </cell>
        </row>
        <row r="29">
          <cell r="A29" t="str">
            <v>NettoinflAFQ</v>
          </cell>
          <cell r="C29" t="str">
            <v>Aktie- och fondkonton</v>
          </cell>
          <cell r="E29">
            <v>5522</v>
          </cell>
          <cell r="F29">
            <v>4040</v>
          </cell>
          <cell r="G29">
            <v>4561</v>
          </cell>
          <cell r="H29">
            <v>5939</v>
          </cell>
          <cell r="I29">
            <v>254</v>
          </cell>
          <cell r="J29">
            <v>192</v>
          </cell>
          <cell r="K29">
            <v>953</v>
          </cell>
          <cell r="L29">
            <v>2334</v>
          </cell>
          <cell r="M29">
            <v>-142</v>
          </cell>
          <cell r="N29">
            <v>4758</v>
          </cell>
          <cell r="O29">
            <v>630</v>
          </cell>
          <cell r="P29">
            <v>1642.5172606499955</v>
          </cell>
          <cell r="Q29">
            <v>-806.34388381000372</v>
          </cell>
          <cell r="R29">
            <v>890.15643353999076</v>
          </cell>
          <cell r="S29">
            <v>1046.3833263700035</v>
          </cell>
          <cell r="T29">
            <v>-1013.6051420000065</v>
          </cell>
          <cell r="U29">
            <v>499.44657753999491</v>
          </cell>
          <cell r="V29">
            <v>588.9952956800073</v>
          </cell>
          <cell r="W29">
            <v>1364.8514300800014</v>
          </cell>
          <cell r="X29">
            <v>2048.0512523300104</v>
          </cell>
          <cell r="Y29">
            <v>-64.408604620006827</v>
          </cell>
          <cell r="Z29">
            <v>1775.9521211200129</v>
          </cell>
          <cell r="AA29">
            <v>1723.8181645600043</v>
          </cell>
          <cell r="AB29">
            <v>591.07900561000486</v>
          </cell>
          <cell r="AC29">
            <v>2515.2285605000061</v>
          </cell>
          <cell r="AD29">
            <v>5560.8895168299914</v>
          </cell>
          <cell r="AE29">
            <v>1588.8829626299898</v>
          </cell>
          <cell r="AF29">
            <v>2627.0778280099912</v>
          </cell>
          <cell r="AG29">
            <v>-115.63778327999808</v>
          </cell>
          <cell r="AI29">
            <v>2954.2678585099693</v>
          </cell>
        </row>
        <row r="30">
          <cell r="A30" t="str">
            <v>NettoinflISKQ</v>
          </cell>
          <cell r="C30" t="str">
            <v>Investeringssparkonto (ISK)</v>
          </cell>
          <cell r="I30">
            <v>6589</v>
          </cell>
          <cell r="J30">
            <v>2470</v>
          </cell>
          <cell r="K30">
            <v>2797</v>
          </cell>
          <cell r="L30">
            <v>2718</v>
          </cell>
          <cell r="M30">
            <v>2920</v>
          </cell>
          <cell r="N30">
            <v>2888</v>
          </cell>
          <cell r="O30">
            <v>3670</v>
          </cell>
          <cell r="P30">
            <v>3895.2939995400011</v>
          </cell>
          <cell r="Q30">
            <v>7139.8430652600036</v>
          </cell>
          <cell r="R30">
            <v>4163.0074906699992</v>
          </cell>
          <cell r="S30">
            <v>2773.9390211600071</v>
          </cell>
          <cell r="T30">
            <v>3816.716333590005</v>
          </cell>
          <cell r="U30">
            <v>4890.413576990004</v>
          </cell>
          <cell r="V30">
            <v>2467.5197013600041</v>
          </cell>
          <cell r="W30">
            <v>4029.1672272000037</v>
          </cell>
          <cell r="X30">
            <v>933.05847156224343</v>
          </cell>
          <cell r="Y30">
            <v>4342.4242995399909</v>
          </cell>
          <cell r="Z30">
            <v>4100.7823144300082</v>
          </cell>
          <cell r="AA30">
            <v>4817.8588210100097</v>
          </cell>
          <cell r="AB30">
            <v>4855.6236790700032</v>
          </cell>
          <cell r="AC30">
            <v>12983.852282870017</v>
          </cell>
          <cell r="AD30">
            <v>9314.6212092700171</v>
          </cell>
          <cell r="AE30">
            <v>10965.443702190016</v>
          </cell>
          <cell r="AF30">
            <v>11571.25828538002</v>
          </cell>
          <cell r="AG30">
            <v>22897.962980619988</v>
          </cell>
          <cell r="AI30">
            <v>10965.443702190016</v>
          </cell>
        </row>
        <row r="31">
          <cell r="A31" t="str">
            <v>NettoinflSparkQ</v>
          </cell>
          <cell r="C31" t="str">
            <v>Sparkonton</v>
          </cell>
          <cell r="I31">
            <v>279</v>
          </cell>
          <cell r="J31">
            <v>391</v>
          </cell>
          <cell r="K31">
            <v>-30</v>
          </cell>
          <cell r="L31">
            <v>181</v>
          </cell>
          <cell r="M31">
            <v>517</v>
          </cell>
          <cell r="N31">
            <v>459</v>
          </cell>
          <cell r="O31">
            <v>70</v>
          </cell>
          <cell r="P31">
            <v>108.9</v>
          </cell>
          <cell r="Q31">
            <v>-172.82943770000304</v>
          </cell>
          <cell r="R31">
            <v>1742.0696481000023</v>
          </cell>
          <cell r="S31">
            <v>1183.4988536999983</v>
          </cell>
          <cell r="T31">
            <v>644.22080567000216</v>
          </cell>
          <cell r="U31">
            <v>452</v>
          </cell>
          <cell r="V31">
            <v>984.94643666999366</v>
          </cell>
          <cell r="W31">
            <v>1258.7257737099974</v>
          </cell>
          <cell r="X31">
            <v>4237.917577629999</v>
          </cell>
          <cell r="Y31">
            <v>1062.9891664600123</v>
          </cell>
          <cell r="Z31">
            <v>604.1721218799687</v>
          </cell>
          <cell r="AA31">
            <v>1154.9241026400005</v>
          </cell>
          <cell r="AB31">
            <v>606.14817646000461</v>
          </cell>
          <cell r="AC31">
            <v>1444.0419795999765</v>
          </cell>
          <cell r="AD31">
            <v>1474.8588786100036</v>
          </cell>
          <cell r="AE31">
            <v>87.235857409998559</v>
          </cell>
          <cell r="AF31">
            <v>1902.125768259993</v>
          </cell>
          <cell r="AG31">
            <v>1156.34473267</v>
          </cell>
          <cell r="AI31">
            <v>87.235857409998559</v>
          </cell>
        </row>
        <row r="32">
          <cell r="A32" t="str">
            <v>NettoinflSparkPlusQ</v>
          </cell>
          <cell r="C32" t="str">
            <v xml:space="preserve">   varav externa inlåningskonton</v>
          </cell>
          <cell r="I32">
            <v>355</v>
          </cell>
          <cell r="J32">
            <v>312</v>
          </cell>
          <cell r="K32">
            <v>-64</v>
          </cell>
          <cell r="L32">
            <v>111</v>
          </cell>
          <cell r="M32">
            <v>515</v>
          </cell>
          <cell r="N32">
            <v>464</v>
          </cell>
          <cell r="O32">
            <v>48</v>
          </cell>
          <cell r="P32">
            <v>68.2</v>
          </cell>
          <cell r="Q32">
            <v>-122.95974328000295</v>
          </cell>
          <cell r="R32">
            <v>1791.4919078600021</v>
          </cell>
          <cell r="S32">
            <v>1177.6428763199983</v>
          </cell>
          <cell r="T32">
            <v>639.50270781000233</v>
          </cell>
          <cell r="U32">
            <v>454.80043046000287</v>
          </cell>
          <cell r="V32">
            <v>1005.7439934499937</v>
          </cell>
          <cell r="W32">
            <v>1287.1638752999975</v>
          </cell>
          <cell r="X32">
            <v>4099.7326503999993</v>
          </cell>
          <cell r="Y32">
            <v>1189.7959648700123</v>
          </cell>
          <cell r="Z32">
            <v>607.28778292996856</v>
          </cell>
          <cell r="AA32">
            <v>1133.9612078800008</v>
          </cell>
          <cell r="AB32">
            <v>521.15569669000479</v>
          </cell>
          <cell r="AC32">
            <v>1427.5669077099765</v>
          </cell>
          <cell r="AD32">
            <v>1479.0021211000035</v>
          </cell>
          <cell r="AE32">
            <v>168.86411490999865</v>
          </cell>
          <cell r="AF32">
            <v>1887.5378474099925</v>
          </cell>
          <cell r="AG32">
            <v>1211.5640900399999</v>
          </cell>
          <cell r="AI32">
            <v>168.86411490999865</v>
          </cell>
        </row>
        <row r="33">
          <cell r="A33" t="str">
            <v>NettoinflPensQ</v>
          </cell>
          <cell r="C33" t="str">
            <v>Pensions- och försäkringskonton</v>
          </cell>
          <cell r="I33">
            <v>2896</v>
          </cell>
          <cell r="J33">
            <v>1319</v>
          </cell>
          <cell r="K33">
            <v>1288</v>
          </cell>
          <cell r="L33">
            <v>557</v>
          </cell>
          <cell r="M33">
            <v>1660</v>
          </cell>
          <cell r="N33">
            <v>1326</v>
          </cell>
          <cell r="O33">
            <v>1552</v>
          </cell>
          <cell r="P33">
            <v>567.13998642999888</v>
          </cell>
          <cell r="Q33">
            <v>2460.6633859999965</v>
          </cell>
          <cell r="R33">
            <v>1915.2895958099989</v>
          </cell>
          <cell r="S33">
            <v>895.4861517899991</v>
          </cell>
          <cell r="T33">
            <v>101.733609660002</v>
          </cell>
          <cell r="U33">
            <v>2122.1385261699979</v>
          </cell>
          <cell r="V33">
            <v>802.92278698000041</v>
          </cell>
          <cell r="W33">
            <v>1726.3395737699977</v>
          </cell>
          <cell r="X33">
            <v>-856.08236358000158</v>
          </cell>
          <cell r="Y33">
            <v>2228.4187282599987</v>
          </cell>
          <cell r="Z33">
            <v>1786.6764874899998</v>
          </cell>
          <cell r="AA33">
            <v>2242.9452495400001</v>
          </cell>
          <cell r="AB33">
            <v>762.29723000999854</v>
          </cell>
          <cell r="AC33">
            <v>4942.3936774400017</v>
          </cell>
          <cell r="AD33">
            <v>3028.2214397799958</v>
          </cell>
          <cell r="AE33">
            <v>3687.913930229995</v>
          </cell>
          <cell r="AF33">
            <v>2572.0134944399942</v>
          </cell>
          <cell r="AG33">
            <v>6606.1450658699832</v>
          </cell>
          <cell r="AH33">
            <v>7151.4830374599951</v>
          </cell>
          <cell r="AI33">
            <v>4441.3254755699954</v>
          </cell>
        </row>
        <row r="34">
          <cell r="A34" t="str">
            <v>NettoinflKFQ</v>
          </cell>
          <cell r="C34" t="str">
            <v xml:space="preserve">   varav kapitalförsäkring</v>
          </cell>
          <cell r="I34">
            <v>2377</v>
          </cell>
          <cell r="J34">
            <v>755</v>
          </cell>
          <cell r="K34">
            <v>746</v>
          </cell>
          <cell r="L34">
            <v>-143</v>
          </cell>
          <cell r="M34">
            <v>1125.0909478599995</v>
          </cell>
          <cell r="N34">
            <v>700.57421627999634</v>
          </cell>
          <cell r="O34">
            <v>911.59188688999973</v>
          </cell>
          <cell r="P34">
            <v>-198.34348739000086</v>
          </cell>
          <cell r="Q34">
            <v>1721.9306058499969</v>
          </cell>
          <cell r="R34">
            <v>1121.6953844799991</v>
          </cell>
          <cell r="S34">
            <v>284.41343562999919</v>
          </cell>
          <cell r="T34">
            <v>-799.1520562499984</v>
          </cell>
          <cell r="U34">
            <v>1339.8532121099977</v>
          </cell>
          <cell r="V34">
            <v>-5.60452040999985</v>
          </cell>
          <cell r="W34">
            <v>952.89394147999803</v>
          </cell>
          <cell r="X34">
            <v>-1827.9379977300016</v>
          </cell>
          <cell r="Y34">
            <v>1481.1401432599994</v>
          </cell>
          <cell r="Z34">
            <v>858.84068756999943</v>
          </cell>
          <cell r="AA34">
            <v>1313.3952182000003</v>
          </cell>
          <cell r="AB34">
            <v>-271.54502621000154</v>
          </cell>
          <cell r="AC34">
            <v>3779.8479667600018</v>
          </cell>
          <cell r="AD34">
            <v>1952.4764113999952</v>
          </cell>
          <cell r="AE34">
            <v>2618.1835978999948</v>
          </cell>
          <cell r="AF34">
            <v>1452.3340179399947</v>
          </cell>
          <cell r="AG34">
            <v>5195.6907500399848</v>
          </cell>
          <cell r="AH34">
            <v>5757.9173782099942</v>
          </cell>
          <cell r="AI34">
            <v>2817.699160559996</v>
          </cell>
        </row>
        <row r="35">
          <cell r="A35" t="str">
            <v>NettoinflTjpQ</v>
          </cell>
          <cell r="C35" t="str">
            <v xml:space="preserve">   varav tjänstepension </v>
          </cell>
          <cell r="I35">
            <v>472</v>
          </cell>
          <cell r="J35">
            <v>529</v>
          </cell>
          <cell r="K35">
            <v>518</v>
          </cell>
          <cell r="L35">
            <v>679</v>
          </cell>
          <cell r="M35">
            <v>590</v>
          </cell>
          <cell r="N35">
            <v>665</v>
          </cell>
          <cell r="O35">
            <v>660</v>
          </cell>
          <cell r="P35">
            <v>766.2102781000001</v>
          </cell>
          <cell r="Q35">
            <v>774.30705864999936</v>
          </cell>
          <cell r="R35">
            <v>777.42295465999985</v>
          </cell>
          <cell r="S35">
            <v>634.00908588999994</v>
          </cell>
          <cell r="T35">
            <v>867.3997212400003</v>
          </cell>
          <cell r="U35">
            <v>796.66995287999998</v>
          </cell>
          <cell r="V35">
            <v>814.81306900000027</v>
          </cell>
          <cell r="W35">
            <v>763.28867568999954</v>
          </cell>
          <cell r="X35">
            <v>952.20960766000007</v>
          </cell>
          <cell r="Y35">
            <v>757.61847049999994</v>
          </cell>
          <cell r="Z35">
            <v>890.78534038000043</v>
          </cell>
          <cell r="AA35">
            <v>907.60677920999979</v>
          </cell>
          <cell r="AB35">
            <v>939.5130059899999</v>
          </cell>
          <cell r="AC35">
            <v>1113.7188968999997</v>
          </cell>
          <cell r="AD35">
            <v>1029.1523358500003</v>
          </cell>
          <cell r="AE35">
            <v>1014.1966344499999</v>
          </cell>
          <cell r="AF35">
            <v>1129.3775953099998</v>
          </cell>
          <cell r="AG35">
            <v>1242.1075091600005</v>
          </cell>
          <cell r="AH35">
            <v>1267.8672688600002</v>
          </cell>
          <cell r="AI35">
            <v>1423.09655632</v>
          </cell>
        </row>
        <row r="37">
          <cell r="A37" t="str">
            <v>NettoinflSparkapQ</v>
          </cell>
          <cell r="C37" t="str">
            <v>Nettoinflöde/Sparkapital, %</v>
          </cell>
          <cell r="E37" t="e">
            <v>#DIV/0!</v>
          </cell>
          <cell r="F37" t="e">
            <v>#DIV/0!</v>
          </cell>
          <cell r="G37" t="e">
            <v>#DIV/0!</v>
          </cell>
          <cell r="H37" t="e">
            <v>#DIV/0!</v>
          </cell>
          <cell r="I37" t="e">
            <v>#DIV/0!</v>
          </cell>
          <cell r="J37">
            <v>0.10047978853213957</v>
          </cell>
          <cell r="K37">
            <v>0.11395447098304913</v>
          </cell>
          <cell r="L37">
            <v>0.13113537127934308</v>
          </cell>
          <cell r="M37">
            <v>0.1000054521847891</v>
          </cell>
          <cell r="N37">
            <v>0.19283640025421997</v>
          </cell>
          <cell r="O37">
            <v>0.1150693041969659</v>
          </cell>
          <cell r="P37">
            <v>0.10786597429156392</v>
          </cell>
          <cell r="Q37">
            <v>0.14420274781085274</v>
          </cell>
          <cell r="R37">
            <v>0.13660812787897522</v>
          </cell>
          <cell r="S37">
            <v>8.728437451873286E-2</v>
          </cell>
          <cell r="T37">
            <v>5.0524483155713777E-2</v>
          </cell>
          <cell r="U37">
            <v>0.11259280231075415</v>
          </cell>
          <cell r="V37">
            <v>6.7115179179312714E-2</v>
          </cell>
          <cell r="W37">
            <v>0.10912272978078591</v>
          </cell>
          <cell r="X37">
            <v>7.6897575660601736E-2</v>
          </cell>
          <cell r="Y37">
            <v>0.10093261091960719</v>
          </cell>
          <cell r="Z37">
            <v>9.8521071552897979E-2</v>
          </cell>
          <cell r="AA37">
            <v>0.11065883340677683</v>
          </cell>
          <cell r="AB37">
            <v>7.2293071646280849E-2</v>
          </cell>
          <cell r="AC37">
            <v>0.2147119103486344</v>
          </cell>
          <cell r="AD37">
            <v>0.210542592146854</v>
          </cell>
          <cell r="AE37">
            <v>0.14692054257876574</v>
          </cell>
          <cell r="AF37">
            <v>0.1452567504527249</v>
          </cell>
          <cell r="AG37">
            <v>0.21415828552143965</v>
          </cell>
          <cell r="AH37">
            <v>0.1403409086780085</v>
          </cell>
          <cell r="AI37">
            <v>0.10341353556593291</v>
          </cell>
        </row>
        <row r="39">
          <cell r="C39" t="str">
            <v>Nettoinflöde (MSEK) - YTD</v>
          </cell>
        </row>
        <row r="40">
          <cell r="A40" t="str">
            <v>NettoinflGrundYTD</v>
          </cell>
          <cell r="C40" t="str">
            <v>Grunderbjudande</v>
          </cell>
          <cell r="E40">
            <v>5522</v>
          </cell>
          <cell r="F40">
            <v>9562</v>
          </cell>
          <cell r="G40">
            <v>14123</v>
          </cell>
          <cell r="H40">
            <v>20062</v>
          </cell>
          <cell r="I40">
            <v>7939.7</v>
          </cell>
          <cell r="J40">
            <v>11961.7</v>
          </cell>
          <cell r="K40">
            <v>16115.7</v>
          </cell>
          <cell r="L40">
            <v>20238.7</v>
          </cell>
          <cell r="M40">
            <v>4525</v>
          </cell>
          <cell r="N40">
            <v>9483.2000000000007</v>
          </cell>
          <cell r="O40">
            <v>14585.2</v>
          </cell>
          <cell r="P40">
            <v>20043.18306626</v>
          </cell>
          <cell r="Q40">
            <v>7910.481252979991</v>
          </cell>
          <cell r="R40">
            <v>15116.909814069984</v>
          </cell>
          <cell r="S40">
            <v>20470.669374349989</v>
          </cell>
          <cell r="T40">
            <v>27072.092280159981</v>
          </cell>
          <cell r="U40">
            <v>7073.0152325099989</v>
          </cell>
          <cell r="V40">
            <v>12194.048064730014</v>
          </cell>
          <cell r="W40">
            <v>19373.552675980012</v>
          </cell>
          <cell r="X40">
            <v>26254.993648102267</v>
          </cell>
          <cell r="Y40">
            <v>7298.7897590299917</v>
          </cell>
          <cell r="Z40">
            <v>14487.243919339979</v>
          </cell>
          <cell r="AA40">
            <v>23114.997849979984</v>
          </cell>
          <cell r="AB40">
            <v>31081.808169539992</v>
          </cell>
          <cell r="AC40">
            <v>19331.53934658003</v>
          </cell>
          <cell r="AD40">
            <v>32393.110378750032</v>
          </cell>
          <cell r="AE40">
            <v>46147.572515290049</v>
          </cell>
          <cell r="AF40">
            <v>63661.490040880046</v>
          </cell>
          <cell r="AG40">
            <v>28517.78427321999</v>
          </cell>
          <cell r="AH40">
            <v>46631.369922959966</v>
          </cell>
          <cell r="AI40">
            <v>62914.788872969941</v>
          </cell>
        </row>
        <row r="41">
          <cell r="A41" t="str">
            <v>NettoinflPBYTD</v>
          </cell>
          <cell r="C41" t="str">
            <v>Private Banking</v>
          </cell>
          <cell r="E41">
            <v>0</v>
          </cell>
          <cell r="F41">
            <v>0</v>
          </cell>
          <cell r="G41">
            <v>0</v>
          </cell>
          <cell r="H41">
            <v>0</v>
          </cell>
          <cell r="I41">
            <v>1945.3</v>
          </cell>
          <cell r="J41">
            <v>2269.3000000000002</v>
          </cell>
          <cell r="K41">
            <v>2963.3</v>
          </cell>
          <cell r="L41">
            <v>4322.3</v>
          </cell>
          <cell r="M41">
            <v>322</v>
          </cell>
          <cell r="N41">
            <v>4666.8</v>
          </cell>
          <cell r="O41">
            <v>5409.8</v>
          </cell>
          <cell r="P41">
            <v>6027.5014650799958</v>
          </cell>
          <cell r="Q41">
            <v>591.90536028000236</v>
          </cell>
          <cell r="R41">
            <v>1567.0629006500008</v>
          </cell>
          <cell r="S41">
            <v>1946.185493980003</v>
          </cell>
          <cell r="T41">
            <v>-934.55576162998591</v>
          </cell>
          <cell r="U41">
            <v>727.7579353399982</v>
          </cell>
          <cell r="V41">
            <v>438.26904078998751</v>
          </cell>
          <cell r="W41">
            <v>1204.3370672699887</v>
          </cell>
          <cell r="X41">
            <v>725.39120295998725</v>
          </cell>
          <cell r="Y41">
            <v>271.91807034000215</v>
          </cell>
          <cell r="Z41">
            <v>1366.5692982800047</v>
          </cell>
          <cell r="AA41">
            <v>2651.6857671500129</v>
          </cell>
          <cell r="AB41">
            <v>1703.3014618500151</v>
          </cell>
          <cell r="AC41">
            <v>2505.4537160399723</v>
          </cell>
          <cell r="AD41">
            <v>8735.4302157699749</v>
          </cell>
          <cell r="AE41">
            <v>10865.926245649956</v>
          </cell>
          <cell r="AF41">
            <v>12043.086827999963</v>
          </cell>
          <cell r="AG41">
            <v>1846.9344080899828</v>
          </cell>
          <cell r="AH41">
            <v>6642.532446579984</v>
          </cell>
          <cell r="AI41">
            <v>8714.4843918799888</v>
          </cell>
        </row>
        <row r="42">
          <cell r="A42" t="str">
            <v>NettoinflProYTD</v>
          </cell>
          <cell r="C42" t="str">
            <v>Pro</v>
          </cell>
          <cell r="E42">
            <v>0</v>
          </cell>
          <cell r="F42">
            <v>0</v>
          </cell>
          <cell r="G42">
            <v>0</v>
          </cell>
          <cell r="H42">
            <v>0</v>
          </cell>
          <cell r="I42">
            <v>133</v>
          </cell>
          <cell r="J42">
            <v>159</v>
          </cell>
          <cell r="K42">
            <v>319</v>
          </cell>
          <cell r="L42">
            <v>627</v>
          </cell>
          <cell r="M42">
            <v>108</v>
          </cell>
          <cell r="N42">
            <v>236</v>
          </cell>
          <cell r="O42">
            <v>313</v>
          </cell>
          <cell r="P42">
            <v>451.16671528000074</v>
          </cell>
          <cell r="Q42">
            <v>118.94651649000014</v>
          </cell>
          <cell r="R42">
            <v>647.88358315000028</v>
          </cell>
          <cell r="S42">
            <v>814.3087825600004</v>
          </cell>
          <cell r="T42">
            <v>642.69273927999984</v>
          </cell>
          <cell r="U42">
            <v>163.22551284999992</v>
          </cell>
          <cell r="V42">
            <v>176.0657958700009</v>
          </cell>
          <cell r="W42">
            <v>609.57716290000121</v>
          </cell>
          <cell r="X42">
            <v>570.02699303000111</v>
          </cell>
          <cell r="Y42">
            <v>-1.2842397299994133</v>
          </cell>
          <cell r="Z42">
            <v>-16.806583059998971</v>
          </cell>
          <cell r="AA42">
            <v>9.8693551800014774</v>
          </cell>
          <cell r="AB42">
            <v>-193.40856792999801</v>
          </cell>
          <cell r="AC42">
            <v>48.52343778999775</v>
          </cell>
          <cell r="AD42">
            <v>135.56695037999748</v>
          </cell>
          <cell r="AE42">
            <v>580.08523641999818</v>
          </cell>
          <cell r="AF42">
            <v>561.48250456999699</v>
          </cell>
          <cell r="AG42">
            <v>180.09631457000171</v>
          </cell>
          <cell r="AH42">
            <v>214.70836444000071</v>
          </cell>
          <cell r="AI42">
            <v>307.61036281000037</v>
          </cell>
        </row>
        <row r="43">
          <cell r="A43" t="str">
            <v>NettoinflTotaltYTD</v>
          </cell>
          <cell r="C43" t="str">
            <v>Totalt</v>
          </cell>
          <cell r="E43">
            <v>5522</v>
          </cell>
          <cell r="F43">
            <v>9562</v>
          </cell>
          <cell r="G43">
            <v>14123</v>
          </cell>
          <cell r="H43">
            <v>20062</v>
          </cell>
          <cell r="I43">
            <v>10018</v>
          </cell>
          <cell r="J43">
            <v>14390</v>
          </cell>
          <cell r="K43">
            <v>19398</v>
          </cell>
          <cell r="L43">
            <v>25188</v>
          </cell>
          <cell r="M43">
            <v>4955</v>
          </cell>
          <cell r="N43">
            <v>14386</v>
          </cell>
          <cell r="O43">
            <v>20308</v>
          </cell>
          <cell r="P43">
            <v>26521.851246619997</v>
          </cell>
          <cell r="Q43">
            <v>8621.3331297499935</v>
          </cell>
          <cell r="R43">
            <v>17331.856297869985</v>
          </cell>
          <cell r="S43">
            <v>23231.163650889994</v>
          </cell>
          <cell r="T43">
            <v>26780.229257809995</v>
          </cell>
          <cell r="U43">
            <v>7963.9986806999968</v>
          </cell>
          <cell r="V43">
            <v>12808.382901390003</v>
          </cell>
          <cell r="W43">
            <v>21187.466906150003</v>
          </cell>
          <cell r="X43">
            <v>27550.411844092254</v>
          </cell>
          <cell r="Y43">
            <v>7569.423589639995</v>
          </cell>
          <cell r="Z43">
            <v>15837.006634559984</v>
          </cell>
          <cell r="AA43">
            <v>25776.552972309997</v>
          </cell>
          <cell r="AB43">
            <v>32591.701063460008</v>
          </cell>
          <cell r="AC43">
            <v>21885.516500410002</v>
          </cell>
          <cell r="AD43">
            <v>41264.107544900005</v>
          </cell>
          <cell r="AE43">
            <v>57593.583997360009</v>
          </cell>
          <cell r="AF43">
            <v>76266.05937345</v>
          </cell>
          <cell r="AG43">
            <v>30544.814995879973</v>
          </cell>
          <cell r="AH43">
            <v>53488.610733979949</v>
          </cell>
          <cell r="AI43">
            <v>71936.883627659932</v>
          </cell>
        </row>
        <row r="45">
          <cell r="A45" t="str">
            <v>NettoinflBankYTD</v>
          </cell>
          <cell r="C45" t="str">
            <v>Aktie-, fond-, och sparkonton</v>
          </cell>
          <cell r="I45">
            <v>7122</v>
          </cell>
          <cell r="J45">
            <v>10175</v>
          </cell>
          <cell r="K45">
            <v>13895</v>
          </cell>
          <cell r="L45">
            <v>19128</v>
          </cell>
          <cell r="M45">
            <v>3295</v>
          </cell>
          <cell r="N45">
            <v>11400</v>
          </cell>
          <cell r="O45">
            <v>15770</v>
          </cell>
          <cell r="P45">
            <v>21416.711260189997</v>
          </cell>
          <cell r="Q45">
            <v>6160.669743749997</v>
          </cell>
          <cell r="R45">
            <v>12955.90331605999</v>
          </cell>
          <cell r="S45">
            <v>17959.72451729</v>
          </cell>
          <cell r="T45">
            <v>21407.05651455</v>
          </cell>
          <cell r="U45">
            <v>5841.8601545299989</v>
          </cell>
          <cell r="V45">
            <v>9883.3215882400036</v>
          </cell>
          <cell r="W45">
            <v>16536.066019230006</v>
          </cell>
          <cell r="X45">
            <v>23755.093320752261</v>
          </cell>
          <cell r="Y45">
            <v>5341.0048613799963</v>
          </cell>
          <cell r="Z45">
            <v>11821.911418809985</v>
          </cell>
          <cell r="AA45">
            <v>19518.512507019997</v>
          </cell>
          <cell r="AB45">
            <v>25571.363368160011</v>
          </cell>
          <cell r="AC45">
            <v>16943.122822969999</v>
          </cell>
          <cell r="AD45">
            <v>33293.492427680008</v>
          </cell>
          <cell r="AE45">
            <v>45935.054949910016</v>
          </cell>
          <cell r="AF45">
            <v>62035.516831560017</v>
          </cell>
          <cell r="AG45">
            <v>23938.66993000999</v>
          </cell>
          <cell r="AH45">
            <v>39730.982630649974</v>
          </cell>
          <cell r="AI45">
            <v>53737.930048759954</v>
          </cell>
        </row>
        <row r="46">
          <cell r="A46" t="str">
            <v>NettoinflAFYTD</v>
          </cell>
          <cell r="C46" t="str">
            <v>Aktie- och fondkonton</v>
          </cell>
          <cell r="E46">
            <v>5522</v>
          </cell>
          <cell r="F46">
            <v>9562</v>
          </cell>
          <cell r="G46">
            <v>14123</v>
          </cell>
          <cell r="H46">
            <v>20062</v>
          </cell>
          <cell r="I46">
            <v>254</v>
          </cell>
          <cell r="J46">
            <v>446</v>
          </cell>
          <cell r="K46">
            <v>1399</v>
          </cell>
          <cell r="L46">
            <v>3733</v>
          </cell>
          <cell r="M46">
            <v>-142</v>
          </cell>
          <cell r="N46">
            <v>4616</v>
          </cell>
          <cell r="O46">
            <v>5246</v>
          </cell>
          <cell r="P46">
            <v>6888.5172606499955</v>
          </cell>
          <cell r="Q46">
            <v>-806.34388381000372</v>
          </cell>
          <cell r="R46">
            <v>83.81254972998704</v>
          </cell>
          <cell r="S46">
            <v>1130.1958760999905</v>
          </cell>
          <cell r="T46">
            <v>116.59073409998405</v>
          </cell>
          <cell r="U46">
            <v>499.44657753999491</v>
          </cell>
          <cell r="V46">
            <v>1088.4418732200022</v>
          </cell>
          <cell r="W46">
            <v>2453.2933033000036</v>
          </cell>
          <cell r="X46">
            <v>4501.3445556300139</v>
          </cell>
          <cell r="Y46">
            <v>-64.408604620006827</v>
          </cell>
          <cell r="Z46">
            <v>1711.543516500006</v>
          </cell>
          <cell r="AA46">
            <v>3435.3616810600106</v>
          </cell>
          <cell r="AB46">
            <v>4026.4406866700156</v>
          </cell>
          <cell r="AC46">
            <v>2515.2285605000061</v>
          </cell>
          <cell r="AD46">
            <v>8076.1180773299975</v>
          </cell>
          <cell r="AE46">
            <v>9665.0010399599869</v>
          </cell>
          <cell r="AF46">
            <v>12292.078867969978</v>
          </cell>
          <cell r="AG46">
            <v>-115.63778327999808</v>
          </cell>
          <cell r="AH46">
            <v>-115.63778327999808</v>
          </cell>
          <cell r="AI46">
            <v>2838.6300752299712</v>
          </cell>
        </row>
        <row r="47">
          <cell r="A47" t="str">
            <v>NettoinflISKYTD</v>
          </cell>
          <cell r="C47" t="str">
            <v>Investeringssparkonto (ISK)</v>
          </cell>
          <cell r="E47">
            <v>0</v>
          </cell>
          <cell r="F47">
            <v>0</v>
          </cell>
          <cell r="G47">
            <v>0</v>
          </cell>
          <cell r="H47">
            <v>0</v>
          </cell>
          <cell r="I47">
            <v>6589</v>
          </cell>
          <cell r="J47">
            <v>9059</v>
          </cell>
          <cell r="K47">
            <v>11856</v>
          </cell>
          <cell r="L47">
            <v>14574</v>
          </cell>
          <cell r="M47">
            <v>2920</v>
          </cell>
          <cell r="N47">
            <v>5808</v>
          </cell>
          <cell r="O47">
            <v>9478</v>
          </cell>
          <cell r="P47">
            <v>13373.293999540001</v>
          </cell>
          <cell r="Q47">
            <v>7139.8430652600036</v>
          </cell>
          <cell r="R47">
            <v>11302.850555930003</v>
          </cell>
          <cell r="S47">
            <v>14076.78957709001</v>
          </cell>
          <cell r="T47">
            <v>17893.505910680014</v>
          </cell>
          <cell r="U47">
            <v>4890.413576990004</v>
          </cell>
          <cell r="V47">
            <v>7357.9332783500085</v>
          </cell>
          <cell r="W47">
            <v>11387.100505550012</v>
          </cell>
          <cell r="X47">
            <v>12320.158977112254</v>
          </cell>
          <cell r="Y47">
            <v>4342.4242995399909</v>
          </cell>
          <cell r="Z47">
            <v>8443.20661397</v>
          </cell>
          <cell r="AA47">
            <v>13261.06543498001</v>
          </cell>
          <cell r="AB47">
            <v>18116.689114050012</v>
          </cell>
          <cell r="AC47">
            <v>12983.852282870017</v>
          </cell>
          <cell r="AD47">
            <v>22298.473492140034</v>
          </cell>
          <cell r="AE47">
            <v>33263.917194330046</v>
          </cell>
          <cell r="AF47">
            <v>44835.175479710066</v>
          </cell>
          <cell r="AG47">
            <v>22897.962980619988</v>
          </cell>
          <cell r="AH47">
            <v>22897.962980619988</v>
          </cell>
          <cell r="AI47">
            <v>33863.406682810004</v>
          </cell>
        </row>
        <row r="48">
          <cell r="A48" t="str">
            <v>NettoinflSparkYTD</v>
          </cell>
          <cell r="C48" t="str">
            <v>Sparkonton</v>
          </cell>
          <cell r="E48">
            <v>0</v>
          </cell>
          <cell r="F48">
            <v>0</v>
          </cell>
          <cell r="G48">
            <v>0</v>
          </cell>
          <cell r="H48">
            <v>0</v>
          </cell>
          <cell r="I48">
            <v>279</v>
          </cell>
          <cell r="J48">
            <v>670</v>
          </cell>
          <cell r="K48">
            <v>640</v>
          </cell>
          <cell r="L48">
            <v>821</v>
          </cell>
          <cell r="M48">
            <v>517</v>
          </cell>
          <cell r="N48">
            <v>976</v>
          </cell>
          <cell r="O48">
            <v>1046</v>
          </cell>
          <cell r="P48">
            <v>1154.9000000000001</v>
          </cell>
          <cell r="Q48">
            <v>-172.82943770000304</v>
          </cell>
          <cell r="R48">
            <v>1569.2402103999993</v>
          </cell>
          <cell r="S48">
            <v>2752.7390640999974</v>
          </cell>
          <cell r="T48">
            <v>3396.9598697699994</v>
          </cell>
          <cell r="U48">
            <v>452</v>
          </cell>
          <cell r="V48">
            <v>1436.9464366699935</v>
          </cell>
          <cell r="W48">
            <v>2695.6722103799912</v>
          </cell>
          <cell r="X48">
            <v>6933.5897880099901</v>
          </cell>
          <cell r="Y48">
            <v>1062.9891664600123</v>
          </cell>
          <cell r="Z48">
            <v>1667.161288339981</v>
          </cell>
          <cell r="AA48">
            <v>2822.0853909799816</v>
          </cell>
          <cell r="AB48">
            <v>3428.2335674399865</v>
          </cell>
          <cell r="AC48">
            <v>1444.0419795999765</v>
          </cell>
          <cell r="AD48">
            <v>2918.90085820998</v>
          </cell>
          <cell r="AE48">
            <v>3006.1367156199785</v>
          </cell>
          <cell r="AF48">
            <v>4908.2624838799711</v>
          </cell>
          <cell r="AG48">
            <v>1156.34473267</v>
          </cell>
          <cell r="AH48">
            <v>1156.34473267</v>
          </cell>
          <cell r="AI48">
            <v>1243.5805900799985</v>
          </cell>
        </row>
        <row r="49">
          <cell r="A49" t="str">
            <v>NettoinflSparkPlusYTD</v>
          </cell>
          <cell r="C49" t="str">
            <v xml:space="preserve">   varav externa inlåningskonton</v>
          </cell>
          <cell r="E49">
            <v>0</v>
          </cell>
          <cell r="F49">
            <v>0</v>
          </cell>
          <cell r="G49">
            <v>0</v>
          </cell>
          <cell r="H49">
            <v>0</v>
          </cell>
          <cell r="I49">
            <v>355</v>
          </cell>
          <cell r="J49">
            <v>667</v>
          </cell>
          <cell r="K49">
            <v>603</v>
          </cell>
          <cell r="L49">
            <v>714</v>
          </cell>
          <cell r="M49">
            <v>515</v>
          </cell>
          <cell r="N49">
            <v>979</v>
          </cell>
          <cell r="O49">
            <v>1027</v>
          </cell>
          <cell r="P49">
            <v>1095.2</v>
          </cell>
          <cell r="Q49">
            <v>-122.95974328000295</v>
          </cell>
          <cell r="R49">
            <v>1668.5321645799991</v>
          </cell>
          <cell r="S49">
            <v>2846.1750408999974</v>
          </cell>
          <cell r="T49">
            <v>3485.6777487099998</v>
          </cell>
          <cell r="U49">
            <v>454.80043046000287</v>
          </cell>
          <cell r="V49">
            <v>1460.5444239099966</v>
          </cell>
          <cell r="W49">
            <v>2747.708299209994</v>
          </cell>
          <cell r="X49">
            <v>6847.4409496099934</v>
          </cell>
          <cell r="Y49">
            <v>1189.7959648700123</v>
          </cell>
          <cell r="Z49">
            <v>1797.0837477999808</v>
          </cell>
          <cell r="AA49">
            <v>2931.0449556799813</v>
          </cell>
          <cell r="AB49">
            <v>3452.2006523699861</v>
          </cell>
          <cell r="AC49">
            <v>1427.5669077099765</v>
          </cell>
          <cell r="AD49">
            <v>2906.56902880998</v>
          </cell>
          <cell r="AE49">
            <v>3075.4331437199785</v>
          </cell>
          <cell r="AF49">
            <v>4962.9709911299706</v>
          </cell>
          <cell r="AG49">
            <v>1211.5640900399999</v>
          </cell>
          <cell r="AH49">
            <v>1211.5640900399999</v>
          </cell>
          <cell r="AI49">
            <v>1380.4282049499984</v>
          </cell>
        </row>
        <row r="50">
          <cell r="A50" t="str">
            <v>NettoinflPensYTD</v>
          </cell>
          <cell r="C50" t="str">
            <v>Pensions- och försäkringskonton</v>
          </cell>
          <cell r="E50">
            <v>0</v>
          </cell>
          <cell r="F50">
            <v>0</v>
          </cell>
          <cell r="G50">
            <v>0</v>
          </cell>
          <cell r="H50">
            <v>0</v>
          </cell>
          <cell r="I50">
            <v>2896</v>
          </cell>
          <cell r="J50">
            <v>4215</v>
          </cell>
          <cell r="K50">
            <v>5503</v>
          </cell>
          <cell r="L50">
            <v>6060</v>
          </cell>
          <cell r="M50">
            <v>1660</v>
          </cell>
          <cell r="N50">
            <v>2986</v>
          </cell>
          <cell r="O50">
            <v>4538</v>
          </cell>
          <cell r="P50">
            <v>5105.1399864299992</v>
          </cell>
          <cell r="Q50">
            <v>2460.6633859999965</v>
          </cell>
          <cell r="R50">
            <v>4375.9529818099954</v>
          </cell>
          <cell r="S50">
            <v>5271.4391335999944</v>
          </cell>
          <cell r="T50">
            <v>5373.1727432599964</v>
          </cell>
          <cell r="U50">
            <v>2122.1385261699979</v>
          </cell>
          <cell r="V50">
            <v>2925.0613131499986</v>
          </cell>
          <cell r="W50">
            <v>4651.4008869199961</v>
          </cell>
          <cell r="X50">
            <v>3795.3185233399945</v>
          </cell>
          <cell r="Y50">
            <v>2228.4187282599987</v>
          </cell>
          <cell r="Z50">
            <v>4015.0952157499987</v>
          </cell>
          <cell r="AA50">
            <v>6258.0404652899988</v>
          </cell>
          <cell r="AB50">
            <v>7020.337695299997</v>
          </cell>
          <cell r="AC50">
            <v>4942.3936774400017</v>
          </cell>
          <cell r="AD50">
            <v>7970.615117219997</v>
          </cell>
          <cell r="AE50">
            <v>11658.529047449993</v>
          </cell>
          <cell r="AF50">
            <v>14230.542541889987</v>
          </cell>
          <cell r="AG50">
            <v>6606.1450658699832</v>
          </cell>
          <cell r="AH50">
            <v>13757.628103329978</v>
          </cell>
          <cell r="AI50">
            <v>18198.953578899975</v>
          </cell>
        </row>
        <row r="51">
          <cell r="A51" t="str">
            <v>NettoinflKFYTD</v>
          </cell>
          <cell r="C51" t="str">
            <v xml:space="preserve">   varav kapitalförsäkring</v>
          </cell>
          <cell r="E51">
            <v>0</v>
          </cell>
          <cell r="F51">
            <v>0</v>
          </cell>
          <cell r="G51">
            <v>0</v>
          </cell>
          <cell r="H51">
            <v>0</v>
          </cell>
          <cell r="I51">
            <v>2377</v>
          </cell>
          <cell r="J51">
            <v>3132</v>
          </cell>
          <cell r="K51">
            <v>3878</v>
          </cell>
          <cell r="L51">
            <v>3735</v>
          </cell>
          <cell r="M51">
            <v>1125.0909478599995</v>
          </cell>
          <cell r="N51">
            <v>1825.6651641399958</v>
          </cell>
          <cell r="O51">
            <v>2737.2570510299956</v>
          </cell>
          <cell r="P51">
            <v>2538.9135636399947</v>
          </cell>
          <cell r="Q51">
            <v>1721.9306058499969</v>
          </cell>
          <cell r="R51">
            <v>2843.6259903299961</v>
          </cell>
          <cell r="S51">
            <v>3128.0394259599952</v>
          </cell>
          <cell r="T51">
            <v>2328.8873697099971</v>
          </cell>
          <cell r="U51">
            <v>1339.8532121099977</v>
          </cell>
          <cell r="V51">
            <v>1334.2486916999978</v>
          </cell>
          <cell r="W51">
            <v>2287.1426331799958</v>
          </cell>
          <cell r="X51">
            <v>459.20463544999416</v>
          </cell>
          <cell r="Y51">
            <v>1481.1401432599994</v>
          </cell>
          <cell r="Z51">
            <v>2339.9808308299989</v>
          </cell>
          <cell r="AA51">
            <v>3653.3760490299992</v>
          </cell>
          <cell r="AB51">
            <v>3381.8310228199975</v>
          </cell>
          <cell r="AC51">
            <v>3779.8479667600018</v>
          </cell>
          <cell r="AD51">
            <v>5732.3243781599967</v>
          </cell>
          <cell r="AE51">
            <v>8350.5079760599911</v>
          </cell>
          <cell r="AF51">
            <v>9802.8419939999858</v>
          </cell>
          <cell r="AG51">
            <v>5195.6907500399848</v>
          </cell>
          <cell r="AH51">
            <v>10953.60812824998</v>
          </cell>
          <cell r="AI51">
            <v>13771.307288809976</v>
          </cell>
        </row>
        <row r="52">
          <cell r="A52" t="str">
            <v>NettoinflTjpYTD</v>
          </cell>
          <cell r="C52" t="str">
            <v xml:space="preserve">   varav tjänstepension </v>
          </cell>
          <cell r="E52">
            <v>0</v>
          </cell>
          <cell r="F52">
            <v>0</v>
          </cell>
          <cell r="G52">
            <v>0</v>
          </cell>
          <cell r="H52">
            <v>0</v>
          </cell>
          <cell r="I52">
            <v>472</v>
          </cell>
          <cell r="J52">
            <v>1001</v>
          </cell>
          <cell r="K52">
            <v>1519</v>
          </cell>
          <cell r="L52">
            <v>2198</v>
          </cell>
          <cell r="M52">
            <v>590</v>
          </cell>
          <cell r="N52">
            <v>1255</v>
          </cell>
          <cell r="O52">
            <v>1915</v>
          </cell>
          <cell r="P52">
            <v>2681.2102781000003</v>
          </cell>
          <cell r="Q52">
            <v>774.30705864999936</v>
          </cell>
          <cell r="R52">
            <v>1551.7300133099993</v>
          </cell>
          <cell r="S52">
            <v>2185.7390991999991</v>
          </cell>
          <cell r="T52">
            <v>3053.1388204399996</v>
          </cell>
          <cell r="U52">
            <v>796.66995287999998</v>
          </cell>
          <cell r="V52">
            <v>1611.4830218800003</v>
          </cell>
          <cell r="W52">
            <v>2374.7716975699996</v>
          </cell>
          <cell r="X52">
            <v>3326.9813052299996</v>
          </cell>
          <cell r="Y52">
            <v>757.61847049999994</v>
          </cell>
          <cell r="Z52">
            <v>1648.4038108800005</v>
          </cell>
          <cell r="AA52">
            <v>2556.0105900900003</v>
          </cell>
          <cell r="AB52">
            <v>3495.5235960800001</v>
          </cell>
          <cell r="AC52">
            <v>1113.7188968999997</v>
          </cell>
          <cell r="AD52">
            <v>2142.8712327499998</v>
          </cell>
          <cell r="AE52">
            <v>3157.0678671999995</v>
          </cell>
          <cell r="AF52">
            <v>4286.4454625099988</v>
          </cell>
          <cell r="AG52">
            <v>1242.1075091600005</v>
          </cell>
          <cell r="AH52">
            <v>2509.9747780200005</v>
          </cell>
          <cell r="AI52">
            <v>3933.0713343400002</v>
          </cell>
        </row>
        <row r="54">
          <cell r="A54" t="str">
            <v>NettoinflSparkapYTD</v>
          </cell>
          <cell r="C54" t="str">
            <v>Nettoinflöde/Sparkapital, % (årsbasis, för tabell)</v>
          </cell>
          <cell r="E54" t="e">
            <v>#DIV/0!</v>
          </cell>
          <cell r="F54" t="e">
            <v>#DIV/0!</v>
          </cell>
          <cell r="G54" t="e">
            <v>#DIV/0!</v>
          </cell>
          <cell r="H54" t="e">
            <v>#DIV/0!</v>
          </cell>
          <cell r="I54" t="e">
            <v>#DIV/0!</v>
          </cell>
          <cell r="J54" t="e">
            <v>#DIV/0!</v>
          </cell>
          <cell r="K54" t="e">
            <v>#DIV/0!</v>
          </cell>
          <cell r="L54" t="e">
            <v>#DIV/0!</v>
          </cell>
          <cell r="M54">
            <v>0.1000054521847891</v>
          </cell>
          <cell r="N54">
            <v>0.14517441323212674</v>
          </cell>
          <cell r="O54">
            <v>0.13662366114824734</v>
          </cell>
          <cell r="P54">
            <v>0.13382087420262084</v>
          </cell>
          <cell r="Q54">
            <v>0.14420274781085274</v>
          </cell>
          <cell r="R54">
            <v>0.14494865615337621</v>
          </cell>
          <cell r="S54">
            <v>0.12952357378628457</v>
          </cell>
          <cell r="T54">
            <v>0.11198333795543698</v>
          </cell>
          <cell r="U54">
            <v>0.11259280231075415</v>
          </cell>
          <cell r="V54">
            <v>9.0540680740663543E-2</v>
          </cell>
          <cell r="W54">
            <v>9.9847508287972842E-2</v>
          </cell>
          <cell r="X54">
            <v>9.7375018464627927E-2</v>
          </cell>
          <cell r="Y54">
            <v>0.10093261091960719</v>
          </cell>
          <cell r="Z54">
            <v>0.1055873284040446</v>
          </cell>
          <cell r="AA54">
            <v>0.11457036154261722</v>
          </cell>
          <cell r="AB54">
            <v>0.10864649876209431</v>
          </cell>
          <cell r="AC54">
            <v>0.2147119103486344</v>
          </cell>
          <cell r="AD54">
            <v>0.2024145822565119</v>
          </cell>
          <cell r="AE54">
            <v>0.18834417187376018</v>
          </cell>
          <cell r="AF54">
            <v>0.18705557283202628</v>
          </cell>
          <cell r="AG54">
            <v>0.21415828552143965</v>
          </cell>
          <cell r="AH54">
            <v>0.18751184401113458</v>
          </cell>
          <cell r="AI54">
            <v>0.1681232386525939</v>
          </cell>
        </row>
        <row r="55">
          <cell r="A55" t="str">
            <v>NettoinflSparkap2YTD</v>
          </cell>
          <cell r="C55" t="str">
            <v>Nettoinflöde/Sparkapital, % (för text)</v>
          </cell>
          <cell r="E55" t="e">
            <v>#DIV/0!</v>
          </cell>
          <cell r="F55" t="e">
            <v>#DIV/0!</v>
          </cell>
          <cell r="G55" t="e">
            <v>#DIV/0!</v>
          </cell>
          <cell r="H55" t="e">
            <v>#DIV/0!</v>
          </cell>
          <cell r="I55" t="e">
            <v>#DIV/0!</v>
          </cell>
          <cell r="J55" t="e">
            <v>#DIV/0!</v>
          </cell>
          <cell r="K55" t="e">
            <v>#DIV/0!</v>
          </cell>
          <cell r="L55" t="e">
            <v>#DIV/0!</v>
          </cell>
          <cell r="M55">
            <v>2.5001363046197274E-2</v>
          </cell>
          <cell r="N55">
            <v>7.2587206616063368E-2</v>
          </cell>
          <cell r="O55">
            <v>0.10246774586118551</v>
          </cell>
          <cell r="P55">
            <v>0.13382087420262084</v>
          </cell>
          <cell r="Q55">
            <v>3.6050686952713185E-2</v>
          </cell>
          <cell r="R55">
            <v>7.2474328076688105E-2</v>
          </cell>
          <cell r="S55">
            <v>9.7142680339713433E-2</v>
          </cell>
          <cell r="T55">
            <v>0.11198333795543698</v>
          </cell>
          <cell r="U55">
            <v>2.8148200577688538E-2</v>
          </cell>
          <cell r="V55">
            <v>4.5270340370331771E-2</v>
          </cell>
          <cell r="W55">
            <v>7.4885631215979631E-2</v>
          </cell>
          <cell r="X55">
            <v>9.7375018464627927E-2</v>
          </cell>
          <cell r="Y55">
            <v>2.5233152729901797E-2</v>
          </cell>
          <cell r="Z55">
            <v>5.2793664202022299E-2</v>
          </cell>
          <cell r="AA55">
            <v>8.5927771156962915E-2</v>
          </cell>
          <cell r="AB55">
            <v>0.10864649876209431</v>
          </cell>
          <cell r="AC55">
            <v>5.3677977587158601E-2</v>
          </cell>
          <cell r="AD55">
            <v>0.10120729112825595</v>
          </cell>
          <cell r="AE55">
            <v>0.14125812890532013</v>
          </cell>
          <cell r="AF55">
            <v>0.18705557283202628</v>
          </cell>
          <cell r="AG55">
            <v>5.3539571380359911E-2</v>
          </cell>
          <cell r="AH55">
            <v>9.3755922005567288E-2</v>
          </cell>
          <cell r="AI55">
            <v>0.12609242898944542</v>
          </cell>
        </row>
        <row r="57">
          <cell r="C57" t="str">
            <v>Nettoinflöde (MSEK) - 4Q</v>
          </cell>
        </row>
        <row r="58">
          <cell r="A58" t="str">
            <v>NettoinflGrund4Q</v>
          </cell>
          <cell r="C58" t="str">
            <v>Grunderbjudande</v>
          </cell>
          <cell r="H58">
            <v>20062</v>
          </cell>
          <cell r="I58">
            <v>22479.7</v>
          </cell>
          <cell r="J58">
            <v>22461.7</v>
          </cell>
          <cell r="K58">
            <v>22054.7</v>
          </cell>
          <cell r="L58">
            <v>20238.7</v>
          </cell>
          <cell r="M58">
            <v>16824</v>
          </cell>
          <cell r="N58">
            <v>17760.2</v>
          </cell>
          <cell r="O58">
            <v>18708.2</v>
          </cell>
          <cell r="P58">
            <v>20043.18306626</v>
          </cell>
          <cell r="Q58">
            <v>23428.664319239993</v>
          </cell>
          <cell r="R58">
            <v>25676.892880329982</v>
          </cell>
          <cell r="S58">
            <v>25928.652440609989</v>
          </cell>
          <cell r="T58">
            <v>27072.092280159981</v>
          </cell>
          <cell r="U58">
            <v>26234.626259689991</v>
          </cell>
          <cell r="V58">
            <v>24149.230530820012</v>
          </cell>
          <cell r="W58">
            <v>25974.975581790004</v>
          </cell>
          <cell r="X58">
            <v>26254.993648102267</v>
          </cell>
          <cell r="Y58">
            <v>26480.768174622259</v>
          </cell>
          <cell r="Z58">
            <v>28548.189502712226</v>
          </cell>
          <cell r="AA58">
            <v>29996.438822102238</v>
          </cell>
          <cell r="AB58">
            <v>31081.808169539992</v>
          </cell>
          <cell r="AC58">
            <v>43114.557757090035</v>
          </cell>
          <cell r="AD58">
            <v>48987.674628950044</v>
          </cell>
          <cell r="AE58">
            <v>54114.382834850061</v>
          </cell>
          <cell r="AF58">
            <v>63661.490040880046</v>
          </cell>
          <cell r="AG58">
            <v>72847.734967520009</v>
          </cell>
          <cell r="AH58">
            <v>77899.749585089987</v>
          </cell>
          <cell r="AI58">
            <v>80428.706398559938</v>
          </cell>
        </row>
        <row r="59">
          <cell r="A59" t="str">
            <v>NettoinflPB4Q</v>
          </cell>
          <cell r="C59" t="str">
            <v>Private Banking</v>
          </cell>
          <cell r="H59">
            <v>0</v>
          </cell>
          <cell r="I59">
            <v>1945.3</v>
          </cell>
          <cell r="J59">
            <v>2269.3000000000002</v>
          </cell>
          <cell r="K59">
            <v>2963.3</v>
          </cell>
          <cell r="L59">
            <v>4322.3</v>
          </cell>
          <cell r="M59">
            <v>2699</v>
          </cell>
          <cell r="N59">
            <v>6719.8</v>
          </cell>
          <cell r="O59">
            <v>6768.8</v>
          </cell>
          <cell r="P59">
            <v>6027.5014650799958</v>
          </cell>
          <cell r="Q59">
            <v>6297.406825359998</v>
          </cell>
          <cell r="R59">
            <v>2927.7643657299959</v>
          </cell>
          <cell r="S59">
            <v>2563.8869590599984</v>
          </cell>
          <cell r="T59">
            <v>-934.55576162998591</v>
          </cell>
          <cell r="U59">
            <v>-798.70318656999018</v>
          </cell>
          <cell r="V59">
            <v>-2063.3496214899988</v>
          </cell>
          <cell r="W59">
            <v>-1676.40418834</v>
          </cell>
          <cell r="X59">
            <v>725.39120295998725</v>
          </cell>
          <cell r="Y59">
            <v>269.55133795999126</v>
          </cell>
          <cell r="Z59">
            <v>1653.6914604500043</v>
          </cell>
          <cell r="AA59">
            <v>2172.7399028400114</v>
          </cell>
          <cell r="AB59">
            <v>1703.3014618500151</v>
          </cell>
          <cell r="AC59">
            <v>3936.8371075499849</v>
          </cell>
          <cell r="AD59">
            <v>9072.1623793399849</v>
          </cell>
          <cell r="AE59">
            <v>9917.5419403499582</v>
          </cell>
          <cell r="AF59">
            <v>12043.086827999963</v>
          </cell>
          <cell r="AG59">
            <v>11384.567520049975</v>
          </cell>
          <cell r="AH59">
            <v>9950.1890588099741</v>
          </cell>
          <cell r="AI59">
            <v>9891.6449742299956</v>
          </cell>
        </row>
        <row r="60">
          <cell r="A60" t="str">
            <v>NettoinflPro4Q</v>
          </cell>
          <cell r="C60" t="str">
            <v>Pro</v>
          </cell>
          <cell r="H60">
            <v>0</v>
          </cell>
          <cell r="I60">
            <v>133</v>
          </cell>
          <cell r="J60">
            <v>159</v>
          </cell>
          <cell r="K60">
            <v>319</v>
          </cell>
          <cell r="L60">
            <v>627</v>
          </cell>
          <cell r="M60">
            <v>602</v>
          </cell>
          <cell r="N60">
            <v>704</v>
          </cell>
          <cell r="O60">
            <v>621</v>
          </cell>
          <cell r="P60">
            <v>451.16671528000074</v>
          </cell>
          <cell r="Q60">
            <v>462.11323177000088</v>
          </cell>
          <cell r="R60">
            <v>863.05029843000102</v>
          </cell>
          <cell r="S60">
            <v>952.47549784000114</v>
          </cell>
          <cell r="T60">
            <v>642.69273927999984</v>
          </cell>
          <cell r="U60">
            <v>686.97173563999945</v>
          </cell>
          <cell r="V60">
            <v>170.87495200000041</v>
          </cell>
          <cell r="W60">
            <v>437.9611196200006</v>
          </cell>
          <cell r="X60">
            <v>570.02699303000111</v>
          </cell>
          <cell r="Y60">
            <v>405.51724045000185</v>
          </cell>
          <cell r="Z60">
            <v>377.15461410000125</v>
          </cell>
          <cell r="AA60">
            <v>-29.680814689998599</v>
          </cell>
          <cell r="AB60">
            <v>-193.40856792999801</v>
          </cell>
          <cell r="AC60">
            <v>-143.60089041000083</v>
          </cell>
          <cell r="AD60">
            <v>-41.035034490001536</v>
          </cell>
          <cell r="AE60">
            <v>376.80731330999868</v>
          </cell>
          <cell r="AF60">
            <v>561.48250456999699</v>
          </cell>
          <cell r="AG60">
            <v>693.05538135000086</v>
          </cell>
          <cell r="AH60">
            <v>640.62391863000016</v>
          </cell>
          <cell r="AI60">
            <v>289.00763095999923</v>
          </cell>
        </row>
        <row r="61">
          <cell r="A61" t="str">
            <v>NettoinflTotalt4Q</v>
          </cell>
          <cell r="C61" t="str">
            <v>Totalt</v>
          </cell>
          <cell r="H61">
            <v>20062</v>
          </cell>
          <cell r="I61">
            <v>24558</v>
          </cell>
          <cell r="J61">
            <v>24890</v>
          </cell>
          <cell r="K61">
            <v>25337</v>
          </cell>
          <cell r="L61">
            <v>25188</v>
          </cell>
          <cell r="M61">
            <v>20125</v>
          </cell>
          <cell r="N61">
            <v>25184</v>
          </cell>
          <cell r="O61">
            <v>26098</v>
          </cell>
          <cell r="P61">
            <v>26521.851246619997</v>
          </cell>
          <cell r="Q61">
            <v>30188.184376369991</v>
          </cell>
          <cell r="R61">
            <v>29467.707544489978</v>
          </cell>
          <cell r="S61">
            <v>29445.014897509991</v>
          </cell>
          <cell r="T61">
            <v>26780.229257809995</v>
          </cell>
          <cell r="U61">
            <v>26122.89480876</v>
          </cell>
          <cell r="V61">
            <v>22256.75586133001</v>
          </cell>
          <cell r="W61">
            <v>24736.532513070004</v>
          </cell>
          <cell r="X61">
            <v>27550.411844092254</v>
          </cell>
          <cell r="Y61">
            <v>27155.83675303225</v>
          </cell>
          <cell r="Z61">
            <v>30579.035577262235</v>
          </cell>
          <cell r="AA61">
            <v>32139.497910252248</v>
          </cell>
          <cell r="AB61">
            <v>32591.701063460008</v>
          </cell>
          <cell r="AC61">
            <v>46907.793974230022</v>
          </cell>
          <cell r="AD61">
            <v>58018.801973800029</v>
          </cell>
          <cell r="AE61">
            <v>64408.73208851002</v>
          </cell>
          <cell r="AF61">
            <v>76266.05937345</v>
          </cell>
          <cell r="AG61">
            <v>84925.357868919979</v>
          </cell>
          <cell r="AH61">
            <v>88490.562562529944</v>
          </cell>
          <cell r="AI61">
            <v>90609.359003749923</v>
          </cell>
        </row>
        <row r="63">
          <cell r="A63" t="str">
            <v>NettoinflBank4Q</v>
          </cell>
          <cell r="C63" t="str">
            <v>Aktie-, fond-, och sparkonton</v>
          </cell>
          <cell r="I63">
            <v>21662</v>
          </cell>
          <cell r="J63">
            <v>20675</v>
          </cell>
          <cell r="K63">
            <v>19834</v>
          </cell>
          <cell r="L63">
            <v>19128</v>
          </cell>
          <cell r="M63">
            <v>15301</v>
          </cell>
          <cell r="N63">
            <v>20353</v>
          </cell>
          <cell r="O63">
            <v>21003</v>
          </cell>
          <cell r="P63">
            <v>21416.711260189997</v>
          </cell>
          <cell r="Q63">
            <v>24282.381003939998</v>
          </cell>
          <cell r="R63">
            <v>22972.614576249984</v>
          </cell>
          <cell r="S63">
            <v>23606.435777479997</v>
          </cell>
          <cell r="T63">
            <v>21407.05651455</v>
          </cell>
          <cell r="U63">
            <v>21088.246925330001</v>
          </cell>
          <cell r="V63">
            <v>18334.47478673001</v>
          </cell>
          <cell r="W63">
            <v>19983.398016490006</v>
          </cell>
          <cell r="X63">
            <v>23755.093320752261</v>
          </cell>
          <cell r="Y63">
            <v>23254.238027602256</v>
          </cell>
          <cell r="Z63">
            <v>25693.683151322242</v>
          </cell>
          <cell r="AA63">
            <v>26737.539808542249</v>
          </cell>
          <cell r="AB63">
            <v>25571.363368160011</v>
          </cell>
          <cell r="AC63">
            <v>37173.481329750022</v>
          </cell>
          <cell r="AD63">
            <v>47042.944377030035</v>
          </cell>
          <cell r="AE63">
            <v>51987.905811050026</v>
          </cell>
          <cell r="AF63">
            <v>62035.516831560017</v>
          </cell>
          <cell r="AG63">
            <v>69031.063938600011</v>
          </cell>
          <cell r="AH63">
            <v>68473.007034529975</v>
          </cell>
          <cell r="AI63">
            <v>69838.391930409955</v>
          </cell>
        </row>
        <row r="64">
          <cell r="A64" t="str">
            <v>NettoinflAF4Q</v>
          </cell>
          <cell r="C64" t="str">
            <v>Aktie- och fondkonton</v>
          </cell>
          <cell r="H64">
            <v>20062</v>
          </cell>
          <cell r="I64">
            <v>14794</v>
          </cell>
          <cell r="J64">
            <v>10946</v>
          </cell>
          <cell r="K64">
            <v>7338</v>
          </cell>
          <cell r="L64">
            <v>3733</v>
          </cell>
          <cell r="M64">
            <v>3337</v>
          </cell>
          <cell r="N64">
            <v>7903</v>
          </cell>
          <cell r="O64">
            <v>7580</v>
          </cell>
          <cell r="P64">
            <v>6888.5172606499955</v>
          </cell>
          <cell r="Q64">
            <v>6224.1733768399918</v>
          </cell>
          <cell r="R64">
            <v>2356.3298103799825</v>
          </cell>
          <cell r="S64">
            <v>2772.713136749986</v>
          </cell>
          <cell r="T64">
            <v>116.59073409998405</v>
          </cell>
          <cell r="U64">
            <v>1422.3811954499827</v>
          </cell>
          <cell r="V64">
            <v>1121.2200575899992</v>
          </cell>
          <cell r="W64">
            <v>1439.6881612999971</v>
          </cell>
          <cell r="X64">
            <v>4501.3445556300139</v>
          </cell>
          <cell r="Y64">
            <v>3937.4893734700122</v>
          </cell>
          <cell r="Z64">
            <v>5124.4461989100182</v>
          </cell>
          <cell r="AA64">
            <v>5483.412933390021</v>
          </cell>
          <cell r="AB64">
            <v>4026.4406866700156</v>
          </cell>
          <cell r="AC64">
            <v>6606.077851790028</v>
          </cell>
          <cell r="AD64">
            <v>10391.015247500007</v>
          </cell>
          <cell r="AE64">
            <v>10256.080045569992</v>
          </cell>
          <cell r="AF64">
            <v>12292.078867969978</v>
          </cell>
          <cell r="AG64">
            <v>9661.2125241899739</v>
          </cell>
          <cell r="AH64">
            <v>4100.3230073599834</v>
          </cell>
          <cell r="AI64">
            <v>5465.7079032399624</v>
          </cell>
        </row>
        <row r="65">
          <cell r="A65" t="str">
            <v>NettoinflISK4Q</v>
          </cell>
          <cell r="C65" t="str">
            <v>Investeringssparkonto (ISK)</v>
          </cell>
          <cell r="H65">
            <v>0</v>
          </cell>
          <cell r="I65">
            <v>6589</v>
          </cell>
          <cell r="J65">
            <v>9059</v>
          </cell>
          <cell r="K65">
            <v>11856</v>
          </cell>
          <cell r="L65">
            <v>14574</v>
          </cell>
          <cell r="M65">
            <v>10905</v>
          </cell>
          <cell r="N65">
            <v>11323</v>
          </cell>
          <cell r="O65">
            <v>12196</v>
          </cell>
          <cell r="P65">
            <v>13373.293999540001</v>
          </cell>
          <cell r="Q65">
            <v>17593.137064800005</v>
          </cell>
          <cell r="R65">
            <v>18868.144555470004</v>
          </cell>
          <cell r="S65">
            <v>17972.083576630012</v>
          </cell>
          <cell r="T65">
            <v>17893.505910680014</v>
          </cell>
          <cell r="U65">
            <v>15644.076422410015</v>
          </cell>
          <cell r="V65">
            <v>13948.58863310002</v>
          </cell>
          <cell r="W65">
            <v>15203.816839140018</v>
          </cell>
          <cell r="X65">
            <v>12320.158977112254</v>
          </cell>
          <cell r="Y65">
            <v>11772.169699662241</v>
          </cell>
          <cell r="Z65">
            <v>13405.432312732246</v>
          </cell>
          <cell r="AA65">
            <v>14194.123906542252</v>
          </cell>
          <cell r="AB65">
            <v>18116.689114050012</v>
          </cell>
          <cell r="AC65">
            <v>26758.11709738004</v>
          </cell>
          <cell r="AD65">
            <v>31971.955992220042</v>
          </cell>
          <cell r="AE65">
            <v>38119.540873400052</v>
          </cell>
          <cell r="AF65">
            <v>44835.175479710066</v>
          </cell>
          <cell r="AG65">
            <v>54749.286177460039</v>
          </cell>
          <cell r="AH65">
            <v>45434.664968190024</v>
          </cell>
          <cell r="AI65">
            <v>45434.664968190024</v>
          </cell>
        </row>
        <row r="66">
          <cell r="A66" t="str">
            <v>NettoinflSpark4Q</v>
          </cell>
          <cell r="C66" t="str">
            <v>Sparkonton</v>
          </cell>
          <cell r="H66">
            <v>0</v>
          </cell>
          <cell r="I66">
            <v>279</v>
          </cell>
          <cell r="J66">
            <v>670</v>
          </cell>
          <cell r="K66">
            <v>640</v>
          </cell>
          <cell r="L66">
            <v>821</v>
          </cell>
          <cell r="M66">
            <v>1059</v>
          </cell>
          <cell r="N66">
            <v>1127</v>
          </cell>
          <cell r="O66">
            <v>1227</v>
          </cell>
          <cell r="P66">
            <v>1154.9000000000001</v>
          </cell>
          <cell r="Q66">
            <v>465.07056229999694</v>
          </cell>
          <cell r="R66">
            <v>1748.1402103999992</v>
          </cell>
          <cell r="S66">
            <v>2861.6390640999975</v>
          </cell>
          <cell r="T66">
            <v>3396.9598697699994</v>
          </cell>
          <cell r="U66">
            <v>4021.7893074700023</v>
          </cell>
          <cell r="V66">
            <v>3264.666096039994</v>
          </cell>
          <cell r="W66">
            <v>3339.8930160499931</v>
          </cell>
          <cell r="X66">
            <v>6933.5897880099901</v>
          </cell>
          <cell r="Y66">
            <v>7544.5789544700019</v>
          </cell>
          <cell r="Z66">
            <v>7163.8046396799764</v>
          </cell>
          <cell r="AA66">
            <v>7060.0029686099797</v>
          </cell>
          <cell r="AB66">
            <v>3428.2335674399865</v>
          </cell>
          <cell r="AC66">
            <v>3809.2863805799502</v>
          </cell>
          <cell r="AD66">
            <v>4679.9731373099848</v>
          </cell>
          <cell r="AE66">
            <v>3612.2848920799829</v>
          </cell>
          <cell r="AF66">
            <v>4908.2624838799711</v>
          </cell>
          <cell r="AG66">
            <v>4620.5652369499949</v>
          </cell>
          <cell r="AH66">
            <v>3145.7063583399913</v>
          </cell>
          <cell r="AI66">
            <v>3145.7063583399918</v>
          </cell>
        </row>
        <row r="67">
          <cell r="A67" t="str">
            <v>NettoinflSparkPlus4Q</v>
          </cell>
          <cell r="C67" t="str">
            <v xml:space="preserve">   varav externa inlåningskonton</v>
          </cell>
          <cell r="H67">
            <v>0</v>
          </cell>
          <cell r="I67">
            <v>355</v>
          </cell>
          <cell r="J67">
            <v>667</v>
          </cell>
          <cell r="K67">
            <v>603</v>
          </cell>
          <cell r="L67">
            <v>714</v>
          </cell>
          <cell r="M67">
            <v>874</v>
          </cell>
          <cell r="N67">
            <v>1026</v>
          </cell>
          <cell r="O67">
            <v>1138</v>
          </cell>
          <cell r="P67">
            <v>1095.2</v>
          </cell>
          <cell r="Q67">
            <v>457.24025671999709</v>
          </cell>
          <cell r="R67">
            <v>1784.7321645799991</v>
          </cell>
          <cell r="S67">
            <v>2914.3750408999977</v>
          </cell>
          <cell r="T67">
            <v>3485.6777487099998</v>
          </cell>
          <cell r="U67">
            <v>4063.4379224500062</v>
          </cell>
          <cell r="V67">
            <v>3277.6900080399973</v>
          </cell>
          <cell r="W67">
            <v>3387.2110070199965</v>
          </cell>
          <cell r="X67">
            <v>6847.4409496099934</v>
          </cell>
          <cell r="Y67">
            <v>7582.4364840200033</v>
          </cell>
          <cell r="Z67">
            <v>7183.9802734999776</v>
          </cell>
          <cell r="AA67">
            <v>7030.7776060799815</v>
          </cell>
          <cell r="AB67">
            <v>3452.2006523699861</v>
          </cell>
          <cell r="AC67">
            <v>3689.9715952099505</v>
          </cell>
          <cell r="AD67">
            <v>4561.6859333799857</v>
          </cell>
          <cell r="AE67">
            <v>3596.5888404099833</v>
          </cell>
          <cell r="AF67">
            <v>4962.9709911299706</v>
          </cell>
          <cell r="AG67">
            <v>4746.9681734599944</v>
          </cell>
          <cell r="AH67">
            <v>3267.966052359991</v>
          </cell>
          <cell r="AI67">
            <v>3267.966052359991</v>
          </cell>
        </row>
        <row r="68">
          <cell r="A68" t="str">
            <v>NettoinflPens4Q</v>
          </cell>
          <cell r="C68" t="str">
            <v>Pensions- och försäkringskonton</v>
          </cell>
          <cell r="H68">
            <v>0</v>
          </cell>
          <cell r="I68">
            <v>2896</v>
          </cell>
          <cell r="J68">
            <v>4215</v>
          </cell>
          <cell r="K68">
            <v>5503</v>
          </cell>
          <cell r="L68">
            <v>6060</v>
          </cell>
          <cell r="M68">
            <v>4824</v>
          </cell>
          <cell r="N68">
            <v>4831</v>
          </cell>
          <cell r="O68">
            <v>5095</v>
          </cell>
          <cell r="P68">
            <v>5105.1399864299992</v>
          </cell>
          <cell r="Q68">
            <v>5905.8033724299949</v>
          </cell>
          <cell r="R68">
            <v>6495.0929682399938</v>
          </cell>
          <cell r="S68">
            <v>5838.5791200299936</v>
          </cell>
          <cell r="T68">
            <v>5373.1727432599964</v>
          </cell>
          <cell r="U68">
            <v>5034.6478834299978</v>
          </cell>
          <cell r="V68">
            <v>3922.2810745999996</v>
          </cell>
          <cell r="W68">
            <v>4753.1344965799981</v>
          </cell>
          <cell r="X68">
            <v>3795.3185233399945</v>
          </cell>
          <cell r="Y68">
            <v>3901.5987254299953</v>
          </cell>
          <cell r="Z68">
            <v>4885.3524259399946</v>
          </cell>
          <cell r="AA68">
            <v>5401.9581017099972</v>
          </cell>
          <cell r="AB68">
            <v>7020.337695299997</v>
          </cell>
          <cell r="AC68">
            <v>9734.31264448</v>
          </cell>
          <cell r="AD68">
            <v>10975.857596769996</v>
          </cell>
          <cell r="AE68">
            <v>12420.826277459992</v>
          </cell>
          <cell r="AF68">
            <v>14230.542541889987</v>
          </cell>
          <cell r="AG68">
            <v>15894.293930319967</v>
          </cell>
          <cell r="AH68">
            <v>20017.555527999968</v>
          </cell>
          <cell r="AI68">
            <v>20770.967073339969</v>
          </cell>
        </row>
        <row r="69">
          <cell r="A69" t="str">
            <v>NettoinflKF4Q</v>
          </cell>
          <cell r="C69" t="str">
            <v xml:space="preserve">   varav kapitalförsäkring</v>
          </cell>
          <cell r="H69">
            <v>0</v>
          </cell>
          <cell r="I69">
            <v>2377</v>
          </cell>
          <cell r="J69">
            <v>3132</v>
          </cell>
          <cell r="K69">
            <v>3878</v>
          </cell>
          <cell r="L69">
            <v>3735</v>
          </cell>
          <cell r="M69">
            <v>2483.0909478599997</v>
          </cell>
          <cell r="N69">
            <v>2428.6651641399958</v>
          </cell>
          <cell r="O69">
            <v>2594.2570510299956</v>
          </cell>
          <cell r="P69">
            <v>2538.9135636399947</v>
          </cell>
          <cell r="Q69">
            <v>3135.7532216299919</v>
          </cell>
          <cell r="R69">
            <v>3556.8743898299949</v>
          </cell>
          <cell r="S69">
            <v>2929.6959385699943</v>
          </cell>
          <cell r="T69">
            <v>2328.8873697099971</v>
          </cell>
          <cell r="U69">
            <v>1946.8099759699976</v>
          </cell>
          <cell r="V69">
            <v>819.51007107999862</v>
          </cell>
          <cell r="W69">
            <v>1487.9905769299976</v>
          </cell>
          <cell r="X69">
            <v>459.20463544999416</v>
          </cell>
          <cell r="Y69">
            <v>600.49156659999596</v>
          </cell>
          <cell r="Z69">
            <v>1464.9367745799952</v>
          </cell>
          <cell r="AA69">
            <v>1825.4380512999974</v>
          </cell>
          <cell r="AB69">
            <v>3381.8310228199975</v>
          </cell>
          <cell r="AC69">
            <v>5680.5388463199997</v>
          </cell>
          <cell r="AD69">
            <v>6774.1745701499958</v>
          </cell>
          <cell r="AE69">
            <v>8078.9629498499908</v>
          </cell>
          <cell r="AF69">
            <v>9802.8419939999858</v>
          </cell>
          <cell r="AG69">
            <v>11218.68477727997</v>
          </cell>
          <cell r="AH69">
            <v>15024.125744089968</v>
          </cell>
          <cell r="AI69">
            <v>15223.641306749969</v>
          </cell>
        </row>
        <row r="70">
          <cell r="A70" t="str">
            <v>NettoinflTjp4Q</v>
          </cell>
          <cell r="C70" t="str">
            <v xml:space="preserve">   varav tjänstepension </v>
          </cell>
          <cell r="H70">
            <v>0</v>
          </cell>
          <cell r="I70">
            <v>472</v>
          </cell>
          <cell r="J70">
            <v>1001</v>
          </cell>
          <cell r="K70">
            <v>1519</v>
          </cell>
          <cell r="L70">
            <v>2198</v>
          </cell>
          <cell r="M70">
            <v>2316</v>
          </cell>
          <cell r="N70">
            <v>2452</v>
          </cell>
          <cell r="O70">
            <v>2594</v>
          </cell>
          <cell r="P70">
            <v>2681.2102781000003</v>
          </cell>
          <cell r="Q70">
            <v>2865.5173367499997</v>
          </cell>
          <cell r="R70">
            <v>2977.9402914099992</v>
          </cell>
          <cell r="S70">
            <v>2951.949377299999</v>
          </cell>
          <cell r="T70">
            <v>3053.1388204399996</v>
          </cell>
          <cell r="U70">
            <v>3075.5017146700002</v>
          </cell>
          <cell r="V70">
            <v>3112.8918290100005</v>
          </cell>
          <cell r="W70">
            <v>3242.1714188100004</v>
          </cell>
          <cell r="X70">
            <v>3326.9813052299996</v>
          </cell>
          <cell r="Y70">
            <v>3287.9298228499997</v>
          </cell>
          <cell r="Z70">
            <v>3363.9020942299999</v>
          </cell>
          <cell r="AA70">
            <v>3508.2201977500004</v>
          </cell>
          <cell r="AB70">
            <v>3495.5235960800001</v>
          </cell>
          <cell r="AC70">
            <v>3851.6240224799994</v>
          </cell>
          <cell r="AD70">
            <v>3989.9910179499998</v>
          </cell>
          <cell r="AE70">
            <v>4096.5808731899997</v>
          </cell>
          <cell r="AF70">
            <v>4286.4454625099988</v>
          </cell>
          <cell r="AG70">
            <v>4414.8340747700004</v>
          </cell>
          <cell r="AH70">
            <v>4653.5490077800005</v>
          </cell>
          <cell r="AI70">
            <v>5062.4489296500005</v>
          </cell>
        </row>
        <row r="72">
          <cell r="A72" t="str">
            <v>NettoinflSparkap4Q</v>
          </cell>
          <cell r="C72" t="str">
            <v>Nettoinflöde/Sparkapital, %</v>
          </cell>
          <cell r="I72" t="e">
            <v>#DIV/0!</v>
          </cell>
          <cell r="J72" t="e">
            <v>#DIV/0!</v>
          </cell>
          <cell r="K72" t="e">
            <v>#DIV/0!</v>
          </cell>
          <cell r="L72" t="e">
            <v>#DIV/0!</v>
          </cell>
          <cell r="M72">
            <v>0.11563104667253596</v>
          </cell>
          <cell r="N72">
            <v>0.14326225026143716</v>
          </cell>
          <cell r="O72">
            <v>0.14777076509707668</v>
          </cell>
          <cell r="P72">
            <v>0.13382087420262084</v>
          </cell>
          <cell r="Q72">
            <v>0.15431504626629927</v>
          </cell>
          <cell r="R72">
            <v>0.14314541554475449</v>
          </cell>
          <cell r="S72">
            <v>0.12778368413941221</v>
          </cell>
          <cell r="T72">
            <v>0.11198333795543698</v>
          </cell>
          <cell r="U72">
            <v>0.10242208434922061</v>
          </cell>
          <cell r="V72">
            <v>8.2326063803822236E-2</v>
          </cell>
          <cell r="W72">
            <v>8.8037293382975113E-2</v>
          </cell>
          <cell r="X72">
            <v>9.7375018464627927E-2</v>
          </cell>
          <cell r="Y72">
            <v>9.4055754375337766E-2</v>
          </cell>
          <cell r="Z72">
            <v>9.9559445709071964E-2</v>
          </cell>
          <cell r="AA72">
            <v>9.7103208355227011E-2</v>
          </cell>
          <cell r="AB72">
            <v>0.10864649876209431</v>
          </cell>
          <cell r="AC72">
            <v>0.13974477490623249</v>
          </cell>
          <cell r="AD72">
            <v>0.16148355075561865</v>
          </cell>
          <cell r="AE72">
            <v>0.17080718647799195</v>
          </cell>
          <cell r="AF72">
            <v>0.18705557283202628</v>
          </cell>
          <cell r="AG72">
            <v>0.23067214927637431</v>
          </cell>
          <cell r="AI72">
            <v>0.17621687516512202</v>
          </cell>
        </row>
        <row r="74">
          <cell r="C74" t="str">
            <v>Kunder</v>
          </cell>
        </row>
        <row r="75">
          <cell r="A75" t="str">
            <v>KunderGrund</v>
          </cell>
          <cell r="C75" t="str">
            <v>Grunderbjudande</v>
          </cell>
          <cell r="E75">
            <v>331012</v>
          </cell>
          <cell r="F75">
            <v>342463</v>
          </cell>
          <cell r="G75">
            <v>355275</v>
          </cell>
          <cell r="H75">
            <v>371217</v>
          </cell>
          <cell r="I75">
            <v>388446</v>
          </cell>
          <cell r="J75">
            <v>408344</v>
          </cell>
          <cell r="K75">
            <v>428510</v>
          </cell>
          <cell r="L75">
            <v>451496</v>
          </cell>
          <cell r="M75">
            <v>477130</v>
          </cell>
          <cell r="N75">
            <v>499349</v>
          </cell>
          <cell r="O75">
            <v>522889</v>
          </cell>
          <cell r="P75">
            <v>550985</v>
          </cell>
          <cell r="Q75">
            <v>588224</v>
          </cell>
          <cell r="R75">
            <v>615436</v>
          </cell>
          <cell r="S75">
            <v>646155</v>
          </cell>
          <cell r="T75">
            <v>687851</v>
          </cell>
          <cell r="U75">
            <v>729506</v>
          </cell>
          <cell r="V75">
            <v>752113</v>
          </cell>
          <cell r="W75">
            <v>783210</v>
          </cell>
          <cell r="X75">
            <v>811042</v>
          </cell>
          <cell r="Y75">
            <v>844201</v>
          </cell>
          <cell r="Z75">
            <v>874892</v>
          </cell>
          <cell r="AA75">
            <v>910978</v>
          </cell>
          <cell r="AB75">
            <v>947977</v>
          </cell>
          <cell r="AC75">
            <v>1035989</v>
          </cell>
          <cell r="AD75">
            <v>1087857</v>
          </cell>
          <cell r="AE75">
            <v>1165860</v>
          </cell>
          <cell r="AF75">
            <v>1252470</v>
          </cell>
          <cell r="AG75">
            <v>1403640</v>
          </cell>
          <cell r="AH75">
            <v>1487444</v>
          </cell>
          <cell r="AI75">
            <v>1556654</v>
          </cell>
        </row>
        <row r="76">
          <cell r="A76" t="str">
            <v>KunderPB</v>
          </cell>
          <cell r="C76" t="str">
            <v>Private Banking</v>
          </cell>
          <cell r="I76">
            <v>12781</v>
          </cell>
          <cell r="J76">
            <v>13291</v>
          </cell>
          <cell r="K76">
            <v>13673</v>
          </cell>
          <cell r="L76">
            <v>14339</v>
          </cell>
          <cell r="M76">
            <v>14795</v>
          </cell>
          <cell r="N76">
            <v>15679</v>
          </cell>
          <cell r="O76">
            <v>16635</v>
          </cell>
          <cell r="P76">
            <v>17670</v>
          </cell>
          <cell r="Q76">
            <v>18875</v>
          </cell>
          <cell r="R76">
            <v>19631</v>
          </cell>
          <cell r="S76">
            <v>20254</v>
          </cell>
          <cell r="T76">
            <v>21057</v>
          </cell>
          <cell r="U76">
            <v>21735</v>
          </cell>
          <cell r="V76">
            <v>22463</v>
          </cell>
          <cell r="W76">
            <v>23473</v>
          </cell>
          <cell r="X76">
            <v>24184</v>
          </cell>
          <cell r="Y76">
            <v>24654</v>
          </cell>
          <cell r="Z76">
            <v>25577</v>
          </cell>
          <cell r="AA76">
            <v>26142</v>
          </cell>
          <cell r="AB76">
            <v>26470</v>
          </cell>
          <cell r="AC76">
            <v>24472</v>
          </cell>
          <cell r="AD76">
            <v>25253</v>
          </cell>
          <cell r="AE76">
            <v>26374</v>
          </cell>
          <cell r="AF76">
            <v>25021</v>
          </cell>
          <cell r="AG76">
            <v>26378</v>
          </cell>
          <cell r="AH76">
            <v>27525</v>
          </cell>
          <cell r="AI76">
            <v>28359</v>
          </cell>
        </row>
        <row r="77">
          <cell r="A77" t="str">
            <v>KunderPro</v>
          </cell>
          <cell r="C77" t="str">
            <v>Pro</v>
          </cell>
          <cell r="I77">
            <v>1759</v>
          </cell>
          <cell r="J77">
            <v>1853</v>
          </cell>
          <cell r="K77">
            <v>1743</v>
          </cell>
          <cell r="L77">
            <v>1812</v>
          </cell>
          <cell r="M77">
            <v>1868</v>
          </cell>
          <cell r="N77">
            <v>1822</v>
          </cell>
          <cell r="O77">
            <v>1808</v>
          </cell>
          <cell r="P77">
            <v>1988</v>
          </cell>
          <cell r="Q77">
            <v>1897</v>
          </cell>
          <cell r="R77">
            <v>1819</v>
          </cell>
          <cell r="S77">
            <v>1722</v>
          </cell>
          <cell r="T77">
            <v>1734</v>
          </cell>
          <cell r="U77">
            <v>1813</v>
          </cell>
          <cell r="V77">
            <v>1780</v>
          </cell>
          <cell r="W77">
            <v>1824</v>
          </cell>
          <cell r="X77">
            <v>1912</v>
          </cell>
          <cell r="Y77">
            <v>1922</v>
          </cell>
          <cell r="Z77">
            <v>1854</v>
          </cell>
          <cell r="AA77">
            <v>1963</v>
          </cell>
          <cell r="AB77">
            <v>1975</v>
          </cell>
          <cell r="AC77">
            <v>2055</v>
          </cell>
          <cell r="AD77">
            <v>2431</v>
          </cell>
          <cell r="AE77">
            <v>2489</v>
          </cell>
          <cell r="AF77">
            <v>2839</v>
          </cell>
          <cell r="AG77">
            <v>3142</v>
          </cell>
          <cell r="AH77">
            <v>3280</v>
          </cell>
          <cell r="AI77">
            <v>3341</v>
          </cell>
        </row>
        <row r="78">
          <cell r="A78" t="str">
            <v>KunderTotalt</v>
          </cell>
          <cell r="C78" t="str">
            <v>Totalt</v>
          </cell>
          <cell r="D78">
            <v>316462</v>
          </cell>
          <cell r="E78">
            <v>331012</v>
          </cell>
          <cell r="F78">
            <v>342463</v>
          </cell>
          <cell r="G78">
            <v>355275</v>
          </cell>
          <cell r="H78">
            <v>371217</v>
          </cell>
          <cell r="I78">
            <v>402986</v>
          </cell>
          <cell r="J78">
            <v>423488</v>
          </cell>
          <cell r="K78">
            <v>443926</v>
          </cell>
          <cell r="L78">
            <v>467647</v>
          </cell>
          <cell r="M78">
            <v>493793</v>
          </cell>
          <cell r="N78">
            <v>516850</v>
          </cell>
          <cell r="O78">
            <v>541332</v>
          </cell>
          <cell r="P78">
            <v>570643</v>
          </cell>
          <cell r="Q78">
            <v>608996</v>
          </cell>
          <cell r="R78">
            <v>636886</v>
          </cell>
          <cell r="S78">
            <v>668131</v>
          </cell>
          <cell r="T78">
            <v>710642</v>
          </cell>
          <cell r="U78">
            <v>753054</v>
          </cell>
          <cell r="V78">
            <v>776356</v>
          </cell>
          <cell r="W78">
            <v>808507</v>
          </cell>
          <cell r="X78">
            <v>837138</v>
          </cell>
          <cell r="Y78">
            <v>870777</v>
          </cell>
          <cell r="Z78">
            <v>902323</v>
          </cell>
          <cell r="AA78">
            <v>939083</v>
          </cell>
          <cell r="AB78">
            <v>976422</v>
          </cell>
          <cell r="AC78">
            <v>1062516</v>
          </cell>
          <cell r="AD78">
            <v>1115541</v>
          </cell>
          <cell r="AE78">
            <v>1194723</v>
          </cell>
          <cell r="AF78">
            <v>1280330</v>
          </cell>
          <cell r="AG78">
            <v>1433160</v>
          </cell>
          <cell r="AH78">
            <v>1518249</v>
          </cell>
          <cell r="AI78">
            <v>1588354</v>
          </cell>
        </row>
        <row r="79">
          <cell r="A79" t="str">
            <v>KunderTjp</v>
          </cell>
          <cell r="C79" t="str">
            <v>varav Tjänstepensionskunder</v>
          </cell>
          <cell r="I79">
            <v>29381</v>
          </cell>
          <cell r="J79">
            <v>32053</v>
          </cell>
          <cell r="K79">
            <v>34597</v>
          </cell>
          <cell r="L79">
            <v>37593</v>
          </cell>
          <cell r="M79">
            <v>40417</v>
          </cell>
          <cell r="N79">
            <v>43647</v>
          </cell>
          <cell r="O79">
            <v>45924</v>
          </cell>
          <cell r="P79">
            <v>49085</v>
          </cell>
          <cell r="Q79">
            <v>53427</v>
          </cell>
          <cell r="R79">
            <v>56695</v>
          </cell>
          <cell r="S79">
            <v>59571</v>
          </cell>
          <cell r="T79">
            <v>63748</v>
          </cell>
          <cell r="U79">
            <v>67441</v>
          </cell>
          <cell r="V79">
            <v>70894</v>
          </cell>
          <cell r="W79">
            <v>73771</v>
          </cell>
          <cell r="X79">
            <v>77732</v>
          </cell>
          <cell r="Y79">
            <v>81308</v>
          </cell>
          <cell r="Z79">
            <v>84931</v>
          </cell>
          <cell r="AA79">
            <v>88626</v>
          </cell>
          <cell r="AB79">
            <v>92560</v>
          </cell>
          <cell r="AC79">
            <v>97147</v>
          </cell>
          <cell r="AD79">
            <v>100188</v>
          </cell>
          <cell r="AE79">
            <v>104015</v>
          </cell>
          <cell r="AF79">
            <v>107911</v>
          </cell>
          <cell r="AG79">
            <v>112561</v>
          </cell>
          <cell r="AH79">
            <v>117469</v>
          </cell>
          <cell r="AI79">
            <v>121754</v>
          </cell>
        </row>
        <row r="80">
          <cell r="A80" t="str">
            <v>KundinflödeQ</v>
          </cell>
          <cell r="C80" t="str">
            <v>Kundinflöde - kvartal</v>
          </cell>
          <cell r="E80">
            <v>14550</v>
          </cell>
          <cell r="F80">
            <v>11451</v>
          </cell>
          <cell r="G80">
            <v>12812</v>
          </cell>
          <cell r="H80">
            <v>15942</v>
          </cell>
          <cell r="I80">
            <v>31769</v>
          </cell>
          <cell r="J80">
            <v>20502</v>
          </cell>
          <cell r="K80">
            <v>20438</v>
          </cell>
          <cell r="L80">
            <v>23721</v>
          </cell>
          <cell r="M80">
            <v>26146</v>
          </cell>
          <cell r="N80">
            <v>23057</v>
          </cell>
          <cell r="O80">
            <v>24482</v>
          </cell>
          <cell r="P80">
            <v>29311</v>
          </cell>
          <cell r="Q80">
            <v>38353</v>
          </cell>
          <cell r="R80">
            <v>27890</v>
          </cell>
          <cell r="S80">
            <v>31245</v>
          </cell>
          <cell r="T80">
            <v>42511</v>
          </cell>
          <cell r="U80">
            <v>42412</v>
          </cell>
          <cell r="V80">
            <v>23302</v>
          </cell>
          <cell r="W80">
            <v>32151</v>
          </cell>
          <cell r="X80">
            <v>28631</v>
          </cell>
          <cell r="Y80">
            <v>33639</v>
          </cell>
          <cell r="Z80">
            <v>31546</v>
          </cell>
          <cell r="AA80">
            <v>36760</v>
          </cell>
          <cell r="AB80">
            <v>37339</v>
          </cell>
          <cell r="AC80">
            <v>86094</v>
          </cell>
          <cell r="AD80">
            <v>53025</v>
          </cell>
          <cell r="AE80">
            <v>79182</v>
          </cell>
          <cell r="AF80">
            <v>85607</v>
          </cell>
          <cell r="AG80">
            <v>152830</v>
          </cell>
          <cell r="AH80">
            <v>85089</v>
          </cell>
          <cell r="AI80">
            <v>70105</v>
          </cell>
        </row>
        <row r="81">
          <cell r="A81" t="str">
            <v>KundinflödeYTD</v>
          </cell>
          <cell r="C81" t="str">
            <v>Kundinflöde - YTD</v>
          </cell>
          <cell r="E81">
            <v>14550</v>
          </cell>
          <cell r="F81">
            <v>26001</v>
          </cell>
          <cell r="G81">
            <v>38813</v>
          </cell>
          <cell r="H81">
            <v>54755</v>
          </cell>
          <cell r="I81">
            <v>31769</v>
          </cell>
          <cell r="J81">
            <v>52271</v>
          </cell>
          <cell r="K81">
            <v>72709</v>
          </cell>
          <cell r="L81">
            <v>96430</v>
          </cell>
          <cell r="M81">
            <v>26146</v>
          </cell>
          <cell r="N81">
            <v>49300</v>
          </cell>
          <cell r="O81">
            <v>73685</v>
          </cell>
          <cell r="P81">
            <v>102996</v>
          </cell>
          <cell r="Q81">
            <v>38353</v>
          </cell>
          <cell r="R81">
            <v>66243</v>
          </cell>
          <cell r="S81">
            <v>97488</v>
          </cell>
          <cell r="T81">
            <v>139999</v>
          </cell>
          <cell r="U81">
            <v>42412</v>
          </cell>
          <cell r="V81">
            <v>65714</v>
          </cell>
          <cell r="W81">
            <v>97865</v>
          </cell>
          <cell r="X81">
            <v>126496</v>
          </cell>
          <cell r="Y81">
            <v>33639</v>
          </cell>
          <cell r="Z81">
            <v>65185</v>
          </cell>
          <cell r="AA81">
            <v>101945</v>
          </cell>
          <cell r="AB81">
            <v>139284</v>
          </cell>
          <cell r="AC81">
            <v>86094</v>
          </cell>
          <cell r="AD81">
            <v>139119</v>
          </cell>
          <cell r="AE81">
            <v>218301</v>
          </cell>
          <cell r="AF81">
            <v>303908</v>
          </cell>
          <cell r="AG81">
            <v>152830</v>
          </cell>
          <cell r="AH81">
            <v>237919</v>
          </cell>
          <cell r="AI81">
            <v>308024</v>
          </cell>
        </row>
        <row r="82">
          <cell r="A82" t="str">
            <v>Kundinflöde4Q</v>
          </cell>
          <cell r="C82" t="str">
            <v>Kundinflöde - 4Q</v>
          </cell>
          <cell r="H82">
            <v>54755</v>
          </cell>
          <cell r="I82">
            <v>71974</v>
          </cell>
          <cell r="J82">
            <v>81025</v>
          </cell>
          <cell r="K82">
            <v>88651</v>
          </cell>
          <cell r="L82">
            <v>96430</v>
          </cell>
          <cell r="M82">
            <v>90807</v>
          </cell>
          <cell r="N82">
            <v>93362</v>
          </cell>
          <cell r="O82">
            <v>97406</v>
          </cell>
          <cell r="P82">
            <v>102996</v>
          </cell>
          <cell r="Q82">
            <v>115203</v>
          </cell>
          <cell r="R82">
            <v>120036</v>
          </cell>
          <cell r="S82">
            <v>126799</v>
          </cell>
          <cell r="T82">
            <v>139999</v>
          </cell>
          <cell r="U82">
            <v>144058</v>
          </cell>
          <cell r="V82">
            <v>139470</v>
          </cell>
          <cell r="W82">
            <v>140376</v>
          </cell>
          <cell r="X82">
            <v>126496</v>
          </cell>
          <cell r="Y82">
            <v>117723</v>
          </cell>
          <cell r="Z82">
            <v>125967</v>
          </cell>
          <cell r="AA82">
            <v>130576</v>
          </cell>
          <cell r="AB82">
            <v>139284</v>
          </cell>
          <cell r="AC82">
            <v>191739</v>
          </cell>
          <cell r="AD82">
            <v>213218</v>
          </cell>
          <cell r="AE82">
            <v>255640</v>
          </cell>
          <cell r="AF82">
            <v>303908</v>
          </cell>
          <cell r="AG82">
            <v>370644</v>
          </cell>
          <cell r="AH82">
            <v>402708</v>
          </cell>
          <cell r="AI82">
            <v>393631</v>
          </cell>
        </row>
        <row r="83">
          <cell r="A83" t="str">
            <v>KundTillväxtQ</v>
          </cell>
          <cell r="C83" t="str">
            <v>Kundtillväxt % - kvartal</v>
          </cell>
          <cell r="E83">
            <v>4.5977084136483999E-2</v>
          </cell>
          <cell r="F83">
            <v>3.4593912003190216E-2</v>
          </cell>
          <cell r="G83">
            <v>3.7411340787179927E-2</v>
          </cell>
          <cell r="H83">
            <v>4.4872282035043273E-2</v>
          </cell>
          <cell r="I83">
            <v>8.5580671143832318E-2</v>
          </cell>
          <cell r="J83">
            <v>5.0875216508762089E-2</v>
          </cell>
          <cell r="K83">
            <v>4.8261107752758048E-2</v>
          </cell>
          <cell r="L83">
            <v>5.3434581439248882E-2</v>
          </cell>
          <cell r="M83">
            <v>5.5909692567256926E-2</v>
          </cell>
          <cell r="N83">
            <v>4.6693655033586946E-2</v>
          </cell>
          <cell r="O83">
            <v>4.7367708232562637E-2</v>
          </cell>
          <cell r="P83">
            <v>5.4146069325293908E-2</v>
          </cell>
          <cell r="Q83">
            <v>6.7210147149794175E-2</v>
          </cell>
          <cell r="R83">
            <v>4.5796688319791917E-2</v>
          </cell>
          <cell r="S83">
            <v>4.9059015271178827E-2</v>
          </cell>
          <cell r="T83">
            <v>6.3626743857117835E-2</v>
          </cell>
          <cell r="U83">
            <v>5.9681245971952124E-2</v>
          </cell>
          <cell r="V83">
            <v>3.0943332085082875E-2</v>
          </cell>
          <cell r="W83">
            <v>4.1412702420023803E-2</v>
          </cell>
          <cell r="X83">
            <v>3.5412185670624992E-2</v>
          </cell>
          <cell r="Y83">
            <v>4.0183338947700382E-2</v>
          </cell>
          <cell r="Z83">
            <v>3.6227415285428992E-2</v>
          </cell>
          <cell r="AA83">
            <v>4.0739291805705936E-2</v>
          </cell>
          <cell r="AB83">
            <v>3.9761128675527085E-2</v>
          </cell>
          <cell r="AC83">
            <v>8.8172941617456382E-2</v>
          </cell>
          <cell r="AD83">
            <v>4.9905130840382637E-2</v>
          </cell>
          <cell r="AE83">
            <v>7.0980806622078438E-2</v>
          </cell>
          <cell r="AF83">
            <v>7.165426630273293E-2</v>
          </cell>
          <cell r="AG83">
            <v>0.11936766302437653</v>
          </cell>
          <cell r="AH83">
            <v>5.9371598425856147E-2</v>
          </cell>
          <cell r="AI83">
            <v>4.6174902799211458E-2</v>
          </cell>
        </row>
        <row r="84">
          <cell r="A84" t="str">
            <v>KundTillväxtYTD</v>
          </cell>
          <cell r="C84" t="str">
            <v>Kundtillväxt % - YTD</v>
          </cell>
          <cell r="E84">
            <v>4.5977084136483999E-2</v>
          </cell>
          <cell r="F84">
            <v>8.2161523342455023E-2</v>
          </cell>
          <cell r="G84">
            <v>0.12264663687899337</v>
          </cell>
          <cell r="H84">
            <v>0.17302235339472039</v>
          </cell>
          <cell r="I84">
            <v>8.5580671143832318E-2</v>
          </cell>
          <cell r="J84">
            <v>0.14080982282600205</v>
          </cell>
          <cell r="K84">
            <v>0.19586656861081253</v>
          </cell>
          <cell r="L84">
            <v>0.25976719816172211</v>
          </cell>
          <cell r="M84">
            <v>5.5909692567256926E-2</v>
          </cell>
          <cell r="N84">
            <v>0.10542139690835181</v>
          </cell>
          <cell r="O84">
            <v>0.15756542862458223</v>
          </cell>
          <cell r="P84">
            <v>0.22024304657145241</v>
          </cell>
          <cell r="Q84">
            <v>6.7210147149794175E-2</v>
          </cell>
          <cell r="R84">
            <v>0.11608483763053258</v>
          </cell>
          <cell r="S84">
            <v>0.17083886072378002</v>
          </cell>
          <cell r="T84">
            <v>0.24533552501301165</v>
          </cell>
          <cell r="U84">
            <v>5.9681245971952124E-2</v>
          </cell>
          <cell r="V84">
            <v>9.2471314670396626E-2</v>
          </cell>
          <cell r="W84">
            <v>0.13771350412725394</v>
          </cell>
          <cell r="X84">
            <v>0.17800242597538563</v>
          </cell>
          <cell r="Y84">
            <v>4.0183338947700382E-2</v>
          </cell>
          <cell r="Z84">
            <v>7.7866492740742865E-2</v>
          </cell>
          <cell r="AA84">
            <v>0.1217780103161008</v>
          </cell>
          <cell r="AB84">
            <v>0.16638117012965603</v>
          </cell>
          <cell r="AC84">
            <v>8.8172941617456382E-2</v>
          </cell>
          <cell r="AD84">
            <v>0.14247835464583961</v>
          </cell>
          <cell r="AE84">
            <v>0.22357238980686631</v>
          </cell>
          <cell r="AF84">
            <v>0.31124657166675884</v>
          </cell>
          <cell r="AG84">
            <v>0.11936766302437653</v>
          </cell>
          <cell r="AH84">
            <v>0.18582631040434888</v>
          </cell>
          <cell r="AI84">
            <v>0.24058172502401726</v>
          </cell>
        </row>
        <row r="85">
          <cell r="A85" t="str">
            <v>KundTillväxt4Q</v>
          </cell>
          <cell r="C85" t="str">
            <v>Kundtillväxt % - 4Q</v>
          </cell>
          <cell r="H85">
            <v>0.17302235339472039</v>
          </cell>
          <cell r="I85">
            <v>0.21743622587700748</v>
          </cell>
          <cell r="J85">
            <v>0.23659490222301388</v>
          </cell>
          <cell r="K85">
            <v>0.24952783055379635</v>
          </cell>
          <cell r="L85">
            <v>0.25976719816172211</v>
          </cell>
          <cell r="M85">
            <v>0.22533537145210999</v>
          </cell>
          <cell r="N85">
            <v>0.22045961160646818</v>
          </cell>
          <cell r="O85">
            <v>0.21941945279168149</v>
          </cell>
          <cell r="P85">
            <v>0.22024304657145241</v>
          </cell>
          <cell r="Q85">
            <v>0.23330221368063137</v>
          </cell>
          <cell r="R85">
            <v>0.23224533230144143</v>
          </cell>
          <cell r="S85">
            <v>0.23423518284527794</v>
          </cell>
          <cell r="T85">
            <v>0.24533552501301165</v>
          </cell>
          <cell r="U85">
            <v>0.23654999376022173</v>
          </cell>
          <cell r="V85">
            <v>0.21898738549756158</v>
          </cell>
          <cell r="W85">
            <v>0.21010250983714271</v>
          </cell>
          <cell r="X85">
            <v>0.17800242597538563</v>
          </cell>
          <cell r="Y85">
            <v>0.15632743468595878</v>
          </cell>
          <cell r="Z85">
            <v>0.16225417205508813</v>
          </cell>
          <cell r="AA85">
            <v>0.16150262149863884</v>
          </cell>
          <cell r="AB85">
            <v>0.16638117012965603</v>
          </cell>
          <cell r="AC85">
            <v>0.22019300004478759</v>
          </cell>
          <cell r="AD85">
            <v>0.23629897497902635</v>
          </cell>
          <cell r="AE85">
            <v>0.2722230090417993</v>
          </cell>
          <cell r="AF85">
            <v>0.31124657166675884</v>
          </cell>
          <cell r="AG85">
            <v>0.3488361587025513</v>
          </cell>
          <cell r="AH85">
            <v>0.36099793732368418</v>
          </cell>
          <cell r="AI85">
            <v>0.32947469831919196</v>
          </cell>
        </row>
        <row r="86">
          <cell r="A86" t="str">
            <v>KundinfYoYQ</v>
          </cell>
          <cell r="C86" t="str">
            <v>Kundinflöde - År mot år - kvartal</v>
          </cell>
          <cell r="I86">
            <v>1.1834364261168386</v>
          </cell>
          <cell r="J86">
            <v>0.79041131778883944</v>
          </cell>
          <cell r="K86">
            <v>0.59522322822354035</v>
          </cell>
          <cell r="L86">
            <v>0.48795634173880309</v>
          </cell>
          <cell r="M86">
            <v>-0.17699644307343632</v>
          </cell>
          <cell r="N86">
            <v>0.12462198809872205</v>
          </cell>
          <cell r="O86">
            <v>0.19786671885703111</v>
          </cell>
          <cell r="P86">
            <v>0.23565616963871672</v>
          </cell>
          <cell r="Q86">
            <v>0.46687829878375275</v>
          </cell>
          <cell r="R86">
            <v>0.20961096413236757</v>
          </cell>
          <cell r="S86">
            <v>0.2762437709337473</v>
          </cell>
          <cell r="T86">
            <v>0.4503428746886835</v>
          </cell>
          <cell r="U86">
            <v>0.1058326597658592</v>
          </cell>
          <cell r="V86">
            <v>-0.16450340623879522</v>
          </cell>
          <cell r="W86">
            <v>2.8996639462314011E-2</v>
          </cell>
          <cell r="X86">
            <v>-0.3265037284467549</v>
          </cell>
          <cell r="Y86">
            <v>-0.20685183438649435</v>
          </cell>
          <cell r="Z86">
            <v>0.35378937430263502</v>
          </cell>
          <cell r="AA86">
            <v>0.14335479456315503</v>
          </cell>
          <cell r="AB86">
            <v>0.30414585589046839</v>
          </cell>
          <cell r="AC86">
            <v>1.5593507535895834</v>
          </cell>
          <cell r="AD86">
            <v>0.68087871679452228</v>
          </cell>
          <cell r="AE86">
            <v>1.1540261153427638</v>
          </cell>
          <cell r="AF86">
            <v>1.2926966442593537</v>
          </cell>
          <cell r="AG86">
            <v>0.77515274002834111</v>
          </cell>
          <cell r="AH86">
            <v>0.60469589816124469</v>
          </cell>
          <cell r="AI86">
            <v>-0.11463463918567351</v>
          </cell>
        </row>
        <row r="87">
          <cell r="A87" t="str">
            <v>KundinfYoYYTD</v>
          </cell>
          <cell r="C87" t="str">
            <v>Kundinflöde - År mot år - YTD</v>
          </cell>
          <cell r="I87">
            <v>1.1834364261168386</v>
          </cell>
          <cell r="J87">
            <v>1.0103457559324642</v>
          </cell>
          <cell r="K87">
            <v>0.87331564166645204</v>
          </cell>
          <cell r="L87">
            <v>0.7611177061455574</v>
          </cell>
          <cell r="M87">
            <v>-0.17699644307343632</v>
          </cell>
          <cell r="N87">
            <v>-5.6838399877561119E-2</v>
          </cell>
          <cell r="O87">
            <v>1.3423372622371366E-2</v>
          </cell>
          <cell r="P87">
            <v>6.8090843098620679E-2</v>
          </cell>
          <cell r="Q87">
            <v>0.46687829878375275</v>
          </cell>
          <cell r="R87">
            <v>0.34367139959432058</v>
          </cell>
          <cell r="S87">
            <v>0.32303725317228738</v>
          </cell>
          <cell r="T87">
            <v>0.35926637927686511</v>
          </cell>
          <cell r="U87">
            <v>0.1058326597658592</v>
          </cell>
          <cell r="V87">
            <v>-7.9857494376763816E-3</v>
          </cell>
          <cell r="W87">
            <v>3.8671426226817296E-3</v>
          </cell>
          <cell r="X87">
            <v>-9.6450688933492401E-2</v>
          </cell>
          <cell r="Y87">
            <v>-0.20685183438649435</v>
          </cell>
          <cell r="Z87">
            <v>-8.0500350001522225E-3</v>
          </cell>
          <cell r="AA87">
            <v>4.1690083277984957E-2</v>
          </cell>
          <cell r="AB87">
            <v>0.10109410574247413</v>
          </cell>
          <cell r="AC87">
            <v>1.5593507535895834</v>
          </cell>
          <cell r="AD87">
            <v>1.1342179949374858</v>
          </cell>
          <cell r="AE87">
            <v>1.1413605375447546</v>
          </cell>
          <cell r="AF87">
            <v>1.1819304442721346</v>
          </cell>
          <cell r="AG87">
            <v>0.77515274002834111</v>
          </cell>
          <cell r="AH87">
            <v>0.71018336819557359</v>
          </cell>
          <cell r="AI87">
            <v>0.41100590469122911</v>
          </cell>
        </row>
        <row r="89">
          <cell r="C89" t="str">
            <v>Sparkapital (MSEK)</v>
          </cell>
        </row>
        <row r="90">
          <cell r="A90" t="str">
            <v>SparkapGrund</v>
          </cell>
          <cell r="C90" t="str">
            <v>Grunderbjudande</v>
          </cell>
          <cell r="E90">
            <v>0</v>
          </cell>
          <cell r="F90">
            <v>0</v>
          </cell>
          <cell r="G90">
            <v>0</v>
          </cell>
          <cell r="H90">
            <v>0</v>
          </cell>
          <cell r="I90">
            <v>97340.090547021333</v>
          </cell>
          <cell r="J90">
            <v>99292.34487350189</v>
          </cell>
          <cell r="K90">
            <v>100065.01771354105</v>
          </cell>
          <cell r="L90">
            <v>111208.95146228168</v>
          </cell>
          <cell r="M90">
            <v>110751.32749207139</v>
          </cell>
          <cell r="N90">
            <v>114613.40061547107</v>
          </cell>
          <cell r="O90">
            <v>127003.42987181769</v>
          </cell>
          <cell r="P90">
            <v>130339.15425019324</v>
          </cell>
          <cell r="Q90">
            <v>139314.82273297734</v>
          </cell>
          <cell r="R90">
            <v>147724.73755277597</v>
          </cell>
          <cell r="S90">
            <v>153687.79926842012</v>
          </cell>
          <cell r="T90">
            <v>157187.77352014344</v>
          </cell>
          <cell r="U90">
            <v>158855.61128088884</v>
          </cell>
          <cell r="V90">
            <v>168582.03371268147</v>
          </cell>
          <cell r="W90">
            <v>181326.27643193919</v>
          </cell>
          <cell r="X90">
            <v>166362.10075203332</v>
          </cell>
          <cell r="Y90">
            <v>186258.24140046965</v>
          </cell>
          <cell r="Z90">
            <v>200469.54381483028</v>
          </cell>
          <cell r="AA90">
            <v>211257.52945783699</v>
          </cell>
          <cell r="AB90">
            <v>228251.45340363117</v>
          </cell>
          <cell r="AC90">
            <v>216223.17195703409</v>
          </cell>
          <cell r="AD90">
            <v>256555.80929918512</v>
          </cell>
          <cell r="AE90">
            <v>293944.81665310165</v>
          </cell>
          <cell r="AF90">
            <v>327705.3457122448</v>
          </cell>
          <cell r="AG90">
            <v>379543.9640347315</v>
          </cell>
          <cell r="AH90">
            <v>408733.43280762614</v>
          </cell>
          <cell r="AI90">
            <v>418797.21568964893</v>
          </cell>
        </row>
        <row r="91">
          <cell r="A91" t="str">
            <v>SparkapPB</v>
          </cell>
          <cell r="C91" t="str">
            <v>Private Banking</v>
          </cell>
          <cell r="I91">
            <v>71874.416457370084</v>
          </cell>
          <cell r="J91">
            <v>71431.761874479809</v>
          </cell>
          <cell r="K91">
            <v>71521.390889819755</v>
          </cell>
          <cell r="L91">
            <v>80613.59602131987</v>
          </cell>
          <cell r="M91">
            <v>78373.507372880034</v>
          </cell>
          <cell r="N91">
            <v>84855.972122179694</v>
          </cell>
          <cell r="O91">
            <v>96187.33700462975</v>
          </cell>
          <cell r="P91">
            <v>100916.58799842992</v>
          </cell>
          <cell r="Q91">
            <v>107310.55548872988</v>
          </cell>
          <cell r="R91">
            <v>113338.40424046987</v>
          </cell>
          <cell r="S91">
            <v>117814.47099163938</v>
          </cell>
          <cell r="T91">
            <v>115813.57226822867</v>
          </cell>
          <cell r="U91">
            <v>119662.16057251986</v>
          </cell>
          <cell r="V91">
            <v>127139.21811291925</v>
          </cell>
          <cell r="W91">
            <v>136869.92597008985</v>
          </cell>
          <cell r="X91">
            <v>122021.51691237986</v>
          </cell>
          <cell r="Y91">
            <v>136176.43708045929</v>
          </cell>
          <cell r="Z91">
            <v>145623.40113168041</v>
          </cell>
          <cell r="AA91">
            <v>151772.52774572023</v>
          </cell>
          <cell r="AB91">
            <v>164495.6456089296</v>
          </cell>
          <cell r="AC91">
            <v>139687.78352717866</v>
          </cell>
          <cell r="AD91">
            <v>172101.57666771003</v>
          </cell>
          <cell r="AE91">
            <v>200847.93112338983</v>
          </cell>
          <cell r="AF91">
            <v>221280.97164359046</v>
          </cell>
          <cell r="AG91">
            <v>249035.10966642899</v>
          </cell>
          <cell r="AH91">
            <v>277235.44120501942</v>
          </cell>
          <cell r="AI91">
            <v>288032.61996811919</v>
          </cell>
        </row>
        <row r="92">
          <cell r="A92" t="str">
            <v>SparkapPro</v>
          </cell>
          <cell r="C92" t="str">
            <v>Pro</v>
          </cell>
          <cell r="I92">
            <v>4830.4452738099944</v>
          </cell>
          <cell r="J92">
            <v>5065.3978426699923</v>
          </cell>
          <cell r="K92">
            <v>5024.9798729400054</v>
          </cell>
          <cell r="L92">
            <v>6366.6468752899973</v>
          </cell>
          <cell r="M92">
            <v>6502.1315701599924</v>
          </cell>
          <cell r="N92">
            <v>6389.1762933999926</v>
          </cell>
          <cell r="O92">
            <v>7237.8288853200029</v>
          </cell>
          <cell r="P92">
            <v>7889.0247029300044</v>
          </cell>
          <cell r="Q92">
            <v>8426.0101067200485</v>
          </cell>
          <cell r="R92">
            <v>9285.6983306600323</v>
          </cell>
          <cell r="S92">
            <v>9475.6149352800276</v>
          </cell>
          <cell r="T92">
            <v>9929.6592938000449</v>
          </cell>
          <cell r="U92">
            <v>10202.859153010009</v>
          </cell>
          <cell r="V92">
            <v>11422.237769740019</v>
          </cell>
          <cell r="W92">
            <v>12786.660622210025</v>
          </cell>
          <cell r="X92">
            <v>11595.686177000007</v>
          </cell>
          <cell r="Y92">
            <v>13232.927021350009</v>
          </cell>
          <cell r="Z92">
            <v>13193.197216680015</v>
          </cell>
          <cell r="AA92">
            <v>14054.381786420017</v>
          </cell>
          <cell r="AB92">
            <v>14971.624459720008</v>
          </cell>
          <cell r="AC92">
            <v>12253.810549890002</v>
          </cell>
          <cell r="AD92">
            <v>15922.416580610035</v>
          </cell>
          <cell r="AE92">
            <v>19399.544640710028</v>
          </cell>
          <cell r="AF92">
            <v>21522.825851180045</v>
          </cell>
          <cell r="AG92">
            <v>25365.551689319986</v>
          </cell>
          <cell r="AH92">
            <v>27603.978621060003</v>
          </cell>
          <cell r="AI92">
            <v>28155.102985160011</v>
          </cell>
        </row>
        <row r="93">
          <cell r="A93" t="str">
            <v>SparkapTotal</v>
          </cell>
          <cell r="C93" t="str">
            <v>Totalt</v>
          </cell>
          <cell r="I93">
            <v>174044.95227820141</v>
          </cell>
          <cell r="J93">
            <v>175789.50459065169</v>
          </cell>
          <cell r="K93">
            <v>176611.38847630081</v>
          </cell>
          <cell r="L93">
            <v>198189.19435889155</v>
          </cell>
          <cell r="M93">
            <v>195626.96643511142</v>
          </cell>
          <cell r="N93">
            <v>205858.54903105076</v>
          </cell>
          <cell r="O93">
            <v>230428.59576176744</v>
          </cell>
          <cell r="P93">
            <v>239144.76695155317</v>
          </cell>
          <cell r="Q93">
            <v>255051.38832842727</v>
          </cell>
          <cell r="R93">
            <v>270348.84012390586</v>
          </cell>
          <cell r="S93">
            <v>280977.88519533951</v>
          </cell>
          <cell r="T93">
            <v>282931.00508217217</v>
          </cell>
          <cell r="U93">
            <v>288720.63100641873</v>
          </cell>
          <cell r="V93">
            <v>307143.48959534074</v>
          </cell>
          <cell r="W93">
            <v>330982.86302423908</v>
          </cell>
          <cell r="X93">
            <v>299979.30384141317</v>
          </cell>
          <cell r="Y93">
            <v>335667.60550227895</v>
          </cell>
          <cell r="Z93">
            <v>359286.1421631907</v>
          </cell>
          <cell r="AA93">
            <v>377084.43898997724</v>
          </cell>
          <cell r="AB93">
            <v>407718.72347228078</v>
          </cell>
          <cell r="AC93">
            <v>368164.76603410277</v>
          </cell>
          <cell r="AD93">
            <v>444579.80254750518</v>
          </cell>
          <cell r="AE93">
            <v>514192.29241720156</v>
          </cell>
          <cell r="AF93">
            <v>570509.14320701535</v>
          </cell>
          <cell r="AG93">
            <v>653944.62539048051</v>
          </cell>
          <cell r="AH93">
            <v>713572.8526337056</v>
          </cell>
          <cell r="AI93">
            <v>734984.93864292814</v>
          </cell>
        </row>
        <row r="95">
          <cell r="A95" t="str">
            <v>SparkapBank</v>
          </cell>
          <cell r="C95" t="str">
            <v>Aktie-, fond-, och sparkonton</v>
          </cell>
          <cell r="Y95">
            <v>233130.67394702538</v>
          </cell>
          <cell r="Z95">
            <v>249602.08150838775</v>
          </cell>
          <cell r="AA95">
            <v>262771.0975831165</v>
          </cell>
          <cell r="AB95">
            <v>285576.08130467811</v>
          </cell>
          <cell r="AC95">
            <v>260107.94947353814</v>
          </cell>
          <cell r="AD95">
            <v>315372.77774821222</v>
          </cell>
          <cell r="AE95">
            <v>365728.00834473077</v>
          </cell>
          <cell r="AF95">
            <v>407871.24123521283</v>
          </cell>
          <cell r="AG95">
            <v>467665.6619204462</v>
          </cell>
          <cell r="AH95">
            <v>508868.06978252251</v>
          </cell>
          <cell r="AI95">
            <v>525801.82321244618</v>
          </cell>
        </row>
        <row r="96">
          <cell r="A96" t="str">
            <v>SparkapAF</v>
          </cell>
          <cell r="C96" t="str">
            <v>Aktie- och fondkonton</v>
          </cell>
          <cell r="E96">
            <v>0</v>
          </cell>
          <cell r="F96">
            <v>0</v>
          </cell>
          <cell r="G96">
            <v>0</v>
          </cell>
          <cell r="H96">
            <v>0</v>
          </cell>
          <cell r="I96">
            <v>68660.902963647386</v>
          </cell>
          <cell r="J96">
            <v>66581.750304095971</v>
          </cell>
          <cell r="K96">
            <v>64883.685335964728</v>
          </cell>
          <cell r="L96">
            <v>72711.869480925496</v>
          </cell>
          <cell r="M96">
            <v>69490.793601016252</v>
          </cell>
          <cell r="N96">
            <v>74525.406006144927</v>
          </cell>
          <cell r="O96">
            <v>81552.947785466546</v>
          </cell>
          <cell r="P96">
            <v>85490.454143757161</v>
          </cell>
          <cell r="Q96">
            <v>88864.900450707268</v>
          </cell>
          <cell r="R96">
            <v>92499.097452390153</v>
          </cell>
          <cell r="S96">
            <v>94913.433471592798</v>
          </cell>
          <cell r="T96">
            <v>93460.841781891475</v>
          </cell>
          <cell r="U96">
            <v>93605.044074905469</v>
          </cell>
          <cell r="V96">
            <v>98513.106253554637</v>
          </cell>
          <cell r="W96">
            <v>105019.2413451015</v>
          </cell>
          <cell r="X96">
            <v>94920.164581666715</v>
          </cell>
          <cell r="Y96">
            <v>103293.63132844098</v>
          </cell>
          <cell r="Z96">
            <v>108390.17931864405</v>
          </cell>
          <cell r="AA96">
            <v>112331.794075315</v>
          </cell>
          <cell r="AB96">
            <v>120995.17205094446</v>
          </cell>
          <cell r="AC96">
            <v>103556.00650897088</v>
          </cell>
          <cell r="AD96">
            <v>123376.32863448819</v>
          </cell>
          <cell r="AE96">
            <v>139322.57322833536</v>
          </cell>
          <cell r="AF96">
            <v>150001.19166516321</v>
          </cell>
          <cell r="AG96">
            <v>160641.55360839068</v>
          </cell>
          <cell r="AI96">
            <v>299396.38809605077</v>
          </cell>
        </row>
        <row r="97">
          <cell r="A97" t="str">
            <v>SparkapISK</v>
          </cell>
          <cell r="C97" t="str">
            <v>Investeringssparkonton</v>
          </cell>
          <cell r="I97">
            <v>33513.278830523632</v>
          </cell>
          <cell r="J97">
            <v>36205.426570645417</v>
          </cell>
          <cell r="K97">
            <v>38843.986500515399</v>
          </cell>
          <cell r="L97">
            <v>46609.731457165552</v>
          </cell>
          <cell r="M97">
            <v>47597.157678494892</v>
          </cell>
          <cell r="N97">
            <v>50673.737123114399</v>
          </cell>
          <cell r="O97">
            <v>59878.017036570353</v>
          </cell>
          <cell r="P97">
            <v>63960.09646425469</v>
          </cell>
          <cell r="Q97">
            <v>71933.115950569016</v>
          </cell>
          <cell r="R97">
            <v>78135.53370216336</v>
          </cell>
          <cell r="S97">
            <v>82714.749134055062</v>
          </cell>
          <cell r="T97">
            <v>85834.053688918837</v>
          </cell>
          <cell r="U97">
            <v>89755.672906130247</v>
          </cell>
          <cell r="V97">
            <v>97147.384373885434</v>
          </cell>
          <cell r="W97">
            <v>106870.48801303741</v>
          </cell>
          <cell r="X97">
            <v>94193.866733375005</v>
          </cell>
          <cell r="Y97">
            <v>108837.58988260408</v>
          </cell>
          <cell r="Z97">
            <v>119583.37725245356</v>
          </cell>
          <cell r="AA97">
            <v>127630.5208107514</v>
          </cell>
          <cell r="AB97">
            <v>141145.75370598352</v>
          </cell>
          <cell r="AC97">
            <v>131645.0169679572</v>
          </cell>
          <cell r="AD97">
            <v>165587.500834604</v>
          </cell>
          <cell r="AE97">
            <v>199883.94078587511</v>
          </cell>
          <cell r="AF97">
            <v>229305.11983745958</v>
          </cell>
          <cell r="AG97">
            <v>277271.7246158155</v>
          </cell>
          <cell r="AI97">
            <v>199883.94078587511</v>
          </cell>
        </row>
        <row r="98">
          <cell r="A98" t="str">
            <v>SparkapSpark</v>
          </cell>
          <cell r="C98" t="str">
            <v>Sparkonton</v>
          </cell>
          <cell r="I98">
            <v>7697.8034472499694</v>
          </cell>
          <cell r="J98">
            <v>8098.8530079300099</v>
          </cell>
          <cell r="K98">
            <v>8075.8845658199753</v>
          </cell>
          <cell r="L98">
            <v>8263.1807517000034</v>
          </cell>
          <cell r="M98">
            <v>8787.4448136499905</v>
          </cell>
          <cell r="N98">
            <v>9253.205555619983</v>
          </cell>
          <cell r="O98">
            <v>9330</v>
          </cell>
          <cell r="P98">
            <v>9445.4</v>
          </cell>
          <cell r="Q98">
            <v>9279.3621681399945</v>
          </cell>
          <cell r="R98">
            <v>11029.599718209984</v>
          </cell>
          <cell r="S98">
            <v>12224.021368560008</v>
          </cell>
          <cell r="T98">
            <v>12877.94301231996</v>
          </cell>
          <cell r="U98">
            <v>13384</v>
          </cell>
          <cell r="V98">
            <v>14380.567189799967</v>
          </cell>
          <cell r="W98">
            <v>15653.150644859979</v>
          </cell>
          <cell r="X98">
            <v>19910.990646860075</v>
          </cell>
          <cell r="Y98">
            <v>20999.452735980329</v>
          </cell>
          <cell r="Z98">
            <v>21628.524937290145</v>
          </cell>
          <cell r="AA98">
            <v>22808.782697050046</v>
          </cell>
          <cell r="AB98">
            <v>23435.155547750132</v>
          </cell>
          <cell r="AC98">
            <v>24906.925996610076</v>
          </cell>
          <cell r="AD98">
            <v>26408.948279120057</v>
          </cell>
          <cell r="AE98">
            <v>26521.494330520316</v>
          </cell>
          <cell r="AF98">
            <v>28564.929732590019</v>
          </cell>
          <cell r="AG98">
            <v>29752.383696240042</v>
          </cell>
          <cell r="AI98">
            <v>26521.494330520316</v>
          </cell>
        </row>
        <row r="99">
          <cell r="A99" t="str">
            <v>SparkapSparkPlus</v>
          </cell>
          <cell r="C99" t="str">
            <v>Externa inlåningskonton</v>
          </cell>
          <cell r="I99">
            <v>7069.5882806399686</v>
          </cell>
          <cell r="J99">
            <v>7391.2630710800095</v>
          </cell>
          <cell r="K99">
            <v>7334.4539916699741</v>
          </cell>
          <cell r="L99">
            <v>7451.7904792900026</v>
          </cell>
          <cell r="M99">
            <v>7974.4895015199909</v>
          </cell>
          <cell r="N99">
            <v>8445.8934242499818</v>
          </cell>
          <cell r="O99">
            <v>8500.9195149699663</v>
          </cell>
          <cell r="P99">
            <v>8575.0033457699883</v>
          </cell>
          <cell r="Q99">
            <v>8458.9787302699933</v>
          </cell>
          <cell r="R99">
            <v>10258.764139789982</v>
          </cell>
          <cell r="S99">
            <v>11447.444956820009</v>
          </cell>
          <cell r="T99">
            <v>12096.771246049961</v>
          </cell>
          <cell r="U99">
            <v>12562.541945529998</v>
          </cell>
          <cell r="V99">
            <v>13580.245774969968</v>
          </cell>
          <cell r="W99">
            <v>14881.374298569979</v>
          </cell>
          <cell r="X99">
            <v>19001.165883410074</v>
          </cell>
          <cell r="Y99">
            <v>20216.503893430327</v>
          </cell>
          <cell r="Z99">
            <v>20848.777289670146</v>
          </cell>
          <cell r="AA99">
            <v>22008.14054840005</v>
          </cell>
          <cell r="AB99">
            <v>22549.923947650135</v>
          </cell>
          <cell r="AC99">
            <v>24005.040408470075</v>
          </cell>
          <cell r="AD99">
            <v>25511.304277360057</v>
          </cell>
          <cell r="AE99">
            <v>25705.566967050319</v>
          </cell>
          <cell r="AF99">
            <v>27734.519769890019</v>
          </cell>
          <cell r="AG99">
            <v>28977.297014400043</v>
          </cell>
          <cell r="AH99">
            <v>29055.017993189966</v>
          </cell>
          <cell r="AI99">
            <v>28243.753341199928</v>
          </cell>
        </row>
        <row r="100">
          <cell r="A100" t="str">
            <v>SparkapPens</v>
          </cell>
          <cell r="C100" t="str">
            <v>Pensions- och försäkringskonton</v>
          </cell>
          <cell r="I100">
            <v>64172.967036780428</v>
          </cell>
          <cell r="J100">
            <v>64903.474707980291</v>
          </cell>
          <cell r="K100">
            <v>64807.832074000711</v>
          </cell>
          <cell r="L100">
            <v>70604.412669100479</v>
          </cell>
          <cell r="M100">
            <v>69751.570341950282</v>
          </cell>
          <cell r="N100">
            <v>71406.200346171434</v>
          </cell>
          <cell r="O100">
            <v>79667.630939730545</v>
          </cell>
          <cell r="P100">
            <v>80248.81634354133</v>
          </cell>
          <cell r="Q100">
            <v>84974.009759011009</v>
          </cell>
          <cell r="R100">
            <v>88684.609251142334</v>
          </cell>
          <cell r="S100">
            <v>91125.681221131657</v>
          </cell>
          <cell r="T100">
            <v>90758.166599041899</v>
          </cell>
          <cell r="U100">
            <v>91975.914025382997</v>
          </cell>
          <cell r="V100">
            <v>97102.431778100698</v>
          </cell>
          <cell r="W100">
            <v>103439.98302124019</v>
          </cell>
          <cell r="X100">
            <v>90954.281879511385</v>
          </cell>
          <cell r="Y100">
            <v>102536.93155525356</v>
          </cell>
          <cell r="Z100">
            <v>109684.06065480295</v>
          </cell>
          <cell r="AA100">
            <v>114313.34140686077</v>
          </cell>
          <cell r="AB100">
            <v>122142.64216760268</v>
          </cell>
          <cell r="AC100">
            <v>108056.81656056461</v>
          </cell>
          <cell r="AD100">
            <v>129207.02479929297</v>
          </cell>
          <cell r="AE100">
            <v>148464.28407247079</v>
          </cell>
          <cell r="AF100">
            <v>162637.90197180252</v>
          </cell>
          <cell r="AG100">
            <v>186278.9634700343</v>
          </cell>
          <cell r="AH100">
            <v>204704.78285118309</v>
          </cell>
          <cell r="AI100">
            <v>209183.11543048196</v>
          </cell>
        </row>
        <row r="101">
          <cell r="A101" t="str">
            <v>SparkapKF</v>
          </cell>
          <cell r="C101" t="str">
            <v xml:space="preserve">   varav kapitalförsäkring</v>
          </cell>
          <cell r="I101">
            <v>47378.601192450529</v>
          </cell>
          <cell r="J101">
            <v>48018.319627729958</v>
          </cell>
          <cell r="K101">
            <v>48234.444810560359</v>
          </cell>
          <cell r="L101">
            <v>52405.978852079774</v>
          </cell>
          <cell r="M101">
            <v>51611.507825489694</v>
          </cell>
          <cell r="N101">
            <v>52460.923702020162</v>
          </cell>
          <cell r="O101">
            <v>58670.65636810947</v>
          </cell>
          <cell r="P101">
            <v>57897.20201168974</v>
          </cell>
          <cell r="Q101">
            <v>61040.495144358611</v>
          </cell>
          <cell r="R101">
            <v>63559.423229838983</v>
          </cell>
          <cell r="S101">
            <v>65071.112636129139</v>
          </cell>
          <cell r="T101">
            <v>63643.632455609295</v>
          </cell>
          <cell r="U101">
            <v>64270.619881639708</v>
          </cell>
          <cell r="V101">
            <v>67361.11730274916</v>
          </cell>
          <cell r="W101">
            <v>71851.336096988191</v>
          </cell>
          <cell r="X101">
            <v>61777.923713138603</v>
          </cell>
          <cell r="Y101">
            <v>69613.716306918752</v>
          </cell>
          <cell r="Z101">
            <v>74486.950347450256</v>
          </cell>
          <cell r="AA101">
            <v>77193.205675468867</v>
          </cell>
          <cell r="AB101">
            <v>82037.313409409617</v>
          </cell>
          <cell r="AC101">
            <v>72409.930963479768</v>
          </cell>
          <cell r="AD101">
            <v>88314.407320739658</v>
          </cell>
          <cell r="AE101">
            <v>102922.85997922787</v>
          </cell>
          <cell r="AF101">
            <v>113446.87683899017</v>
          </cell>
          <cell r="AG101">
            <v>131330.92933414975</v>
          </cell>
          <cell r="AH101">
            <v>145686.3886240705</v>
          </cell>
          <cell r="AI101">
            <v>148206.84683769039</v>
          </cell>
        </row>
        <row r="102">
          <cell r="A102" t="str">
            <v>SparkapTjp</v>
          </cell>
          <cell r="C102" t="str">
            <v xml:space="preserve">   varav tjänstepension </v>
          </cell>
          <cell r="I102">
            <v>6997.8010957399783</v>
          </cell>
          <cell r="J102">
            <v>7319.3303543604252</v>
          </cell>
          <cell r="K102">
            <v>7439.6104902804254</v>
          </cell>
          <cell r="L102">
            <v>8519.5853409607989</v>
          </cell>
          <cell r="M102">
            <v>8837.6605911306178</v>
          </cell>
          <cell r="N102">
            <v>9608.9667541313247</v>
          </cell>
          <cell r="O102">
            <v>10955.424482491146</v>
          </cell>
          <cell r="P102">
            <v>12068.468147511594</v>
          </cell>
          <cell r="Q102">
            <v>13301.296280352301</v>
          </cell>
          <cell r="R102">
            <v>14256.603925623283</v>
          </cell>
          <cell r="S102">
            <v>15066.664870043347</v>
          </cell>
          <cell r="T102">
            <v>16113.825238342812</v>
          </cell>
          <cell r="U102">
            <v>16794.008954713296</v>
          </cell>
          <cell r="V102">
            <v>18360.434954561486</v>
          </cell>
          <cell r="W102">
            <v>19755.286175622045</v>
          </cell>
          <cell r="X102">
            <v>18596.100691792868</v>
          </cell>
          <cell r="Y102">
            <v>21290.507663364871</v>
          </cell>
          <cell r="Z102">
            <v>22993.108408202639</v>
          </cell>
          <cell r="AA102">
            <v>24568.098360191914</v>
          </cell>
          <cell r="AB102">
            <v>26725.620428963008</v>
          </cell>
          <cell r="AC102">
            <v>24139.511351494879</v>
          </cell>
          <cell r="AD102">
            <v>27938.10754980339</v>
          </cell>
          <cell r="AE102">
            <v>31284.024192082808</v>
          </cell>
          <cell r="AF102">
            <v>34153.41361508242</v>
          </cell>
          <cell r="AG102">
            <v>38381.304905814541</v>
          </cell>
          <cell r="AH102">
            <v>41378.803240472625</v>
          </cell>
          <cell r="AI102">
            <v>43005.040656731609</v>
          </cell>
        </row>
        <row r="104">
          <cell r="A104" t="str">
            <v>SparkapAktier</v>
          </cell>
          <cell r="C104" t="str">
            <v>Aktier, obligationer, derivat m m</v>
          </cell>
          <cell r="E104">
            <v>0</v>
          </cell>
          <cell r="F104">
            <v>0</v>
          </cell>
          <cell r="G104">
            <v>0</v>
          </cell>
          <cell r="H104">
            <v>0</v>
          </cell>
          <cell r="I104">
            <v>97891.557478681454</v>
          </cell>
          <cell r="J104">
            <v>96518.965948571684</v>
          </cell>
          <cell r="K104">
            <v>99741.099909630822</v>
          </cell>
          <cell r="L104">
            <v>119028.81067560153</v>
          </cell>
          <cell r="M104">
            <v>116424.41848895143</v>
          </cell>
          <cell r="N104">
            <v>122822.85907548077</v>
          </cell>
          <cell r="O104">
            <v>140702.35881333752</v>
          </cell>
          <cell r="P104">
            <v>145271.37227340331</v>
          </cell>
          <cell r="Q104">
            <v>152305.09156562726</v>
          </cell>
          <cell r="R104">
            <v>156276.32403116589</v>
          </cell>
          <cell r="S104">
            <v>161724.23992622949</v>
          </cell>
          <cell r="T104">
            <v>159446.85219854221</v>
          </cell>
          <cell r="U104">
            <v>161624.03270212872</v>
          </cell>
          <cell r="V104">
            <v>171060.79538381076</v>
          </cell>
          <cell r="W104">
            <v>185009.76101166912</v>
          </cell>
          <cell r="X104">
            <v>160964.48217900313</v>
          </cell>
          <cell r="Y104">
            <v>184541.44027388864</v>
          </cell>
          <cell r="Z104">
            <v>197433.49786916055</v>
          </cell>
          <cell r="AA104">
            <v>205493.91465606721</v>
          </cell>
          <cell r="AB104">
            <v>225021.71171163066</v>
          </cell>
          <cell r="AC104">
            <v>190556.80910298275</v>
          </cell>
          <cell r="AD104">
            <v>251207.89838917513</v>
          </cell>
          <cell r="AE104">
            <v>304493.10977555125</v>
          </cell>
          <cell r="AF104">
            <v>342070.97393594531</v>
          </cell>
          <cell r="AG104">
            <v>395180.25235451048</v>
          </cell>
          <cell r="AH104">
            <v>436191.16000185563</v>
          </cell>
          <cell r="AI104">
            <v>443369.7027936182</v>
          </cell>
        </row>
        <row r="105">
          <cell r="A105" t="str">
            <v>SparkapFonder</v>
          </cell>
          <cell r="C105" t="str">
            <v>Fonder</v>
          </cell>
          <cell r="I105">
            <v>49984.006591999998</v>
          </cell>
          <cell r="J105">
            <v>47731.857571</v>
          </cell>
          <cell r="K105">
            <v>45357.032779999994</v>
          </cell>
          <cell r="L105">
            <v>48876.976203999999</v>
          </cell>
          <cell r="M105">
            <v>46712.965462999986</v>
          </cell>
          <cell r="N105">
            <v>48124.343560000008</v>
          </cell>
          <cell r="O105">
            <v>55185.550613999992</v>
          </cell>
          <cell r="P105">
            <v>58922.999022999989</v>
          </cell>
          <cell r="Q105">
            <v>67662.197018999999</v>
          </cell>
          <cell r="R105">
            <v>73742.143060999995</v>
          </cell>
          <cell r="S105">
            <v>76753.171784000006</v>
          </cell>
          <cell r="T105">
            <v>80236.739243999997</v>
          </cell>
          <cell r="U105">
            <v>82392.998493999999</v>
          </cell>
          <cell r="V105">
            <v>88477.706269000002</v>
          </cell>
          <cell r="W105">
            <v>95380.714547999989</v>
          </cell>
          <cell r="X105">
            <v>81121.373778999987</v>
          </cell>
          <cell r="Y105">
            <v>94196.713929999984</v>
          </cell>
          <cell r="Z105">
            <v>101857.28206599999</v>
          </cell>
          <cell r="AA105">
            <v>109310.39907099999</v>
          </cell>
          <cell r="AB105">
            <v>119927.02235</v>
          </cell>
          <cell r="AC105">
            <v>93276.566026999993</v>
          </cell>
          <cell r="AD105">
            <v>114094.29926</v>
          </cell>
          <cell r="AE105">
            <v>133675.13215399999</v>
          </cell>
          <cell r="AF105">
            <v>150886.791619</v>
          </cell>
          <cell r="AG105">
            <v>176956.04602899999</v>
          </cell>
          <cell r="AH105">
            <v>194814.61183499999</v>
          </cell>
          <cell r="AI105">
            <v>202713.51607400004</v>
          </cell>
        </row>
        <row r="106">
          <cell r="A106" t="str">
            <v>SparkapInl</v>
          </cell>
          <cell r="C106" t="str">
            <v>Inlåning</v>
          </cell>
          <cell r="I106">
            <v>26169.388207519969</v>
          </cell>
          <cell r="J106">
            <v>31538.681071080013</v>
          </cell>
          <cell r="K106">
            <v>31513.255786669979</v>
          </cell>
          <cell r="L106">
            <v>30283.407479290006</v>
          </cell>
          <cell r="M106">
            <v>32489.582483159989</v>
          </cell>
          <cell r="N106">
            <v>34911.346395569984</v>
          </cell>
          <cell r="O106">
            <v>34540.686334429964</v>
          </cell>
          <cell r="P106">
            <v>34950.395655149885</v>
          </cell>
          <cell r="Q106">
            <v>35084.09974379999</v>
          </cell>
          <cell r="R106">
            <v>40330.373031739982</v>
          </cell>
          <cell r="S106">
            <v>42500.473485110015</v>
          </cell>
          <cell r="T106">
            <v>43247.413639629958</v>
          </cell>
          <cell r="U106">
            <v>44703.599810289998</v>
          </cell>
          <cell r="V106">
            <v>47604.987942529966</v>
          </cell>
          <cell r="W106">
            <v>50592.387464569983</v>
          </cell>
          <cell r="X106">
            <v>57893.447883410074</v>
          </cell>
          <cell r="Y106">
            <v>56929.451298390326</v>
          </cell>
          <cell r="Z106">
            <v>59995.36222803015</v>
          </cell>
          <cell r="AA106">
            <v>62280.125262910049</v>
          </cell>
          <cell r="AB106">
            <v>62769.989410650131</v>
          </cell>
          <cell r="AC106">
            <v>84331.390904120068</v>
          </cell>
          <cell r="AD106">
            <v>79277.604898330057</v>
          </cell>
          <cell r="AE106">
            <v>76024.050487650326</v>
          </cell>
          <cell r="AF106">
            <v>77551.377652070019</v>
          </cell>
          <cell r="AG106">
            <v>81808.327006970037</v>
          </cell>
          <cell r="AH106">
            <v>82567.080796849958</v>
          </cell>
          <cell r="AI106">
            <v>88901.719775309932</v>
          </cell>
        </row>
        <row r="107">
          <cell r="A107" t="str">
            <v>Sparkontoint</v>
          </cell>
          <cell r="C107" t="str">
            <v>varav sparkonto</v>
          </cell>
        </row>
        <row r="108">
          <cell r="A108" t="str">
            <v>SparkapInlExt</v>
          </cell>
          <cell r="C108" t="str">
            <v xml:space="preserve">   varav extern inlåning</v>
          </cell>
          <cell r="E108">
            <v>0</v>
          </cell>
          <cell r="F108">
            <v>0</v>
          </cell>
          <cell r="G108">
            <v>0</v>
          </cell>
          <cell r="H108">
            <v>0</v>
          </cell>
          <cell r="I108">
            <v>7069.5882806399686</v>
          </cell>
          <cell r="J108">
            <v>7391.2630710800095</v>
          </cell>
          <cell r="K108">
            <v>7334.4539916699741</v>
          </cell>
          <cell r="L108">
            <v>7451.7904792900026</v>
          </cell>
          <cell r="M108">
            <v>7974.4895015199909</v>
          </cell>
          <cell r="N108">
            <v>8445.8934242499818</v>
          </cell>
          <cell r="O108">
            <v>8500.9195149699663</v>
          </cell>
          <cell r="P108">
            <v>8575.0033457699883</v>
          </cell>
          <cell r="Q108">
            <v>8458.9787302699933</v>
          </cell>
          <cell r="R108">
            <v>10258.764139789982</v>
          </cell>
          <cell r="S108">
            <v>11447.444956820009</v>
          </cell>
          <cell r="T108">
            <v>12096.771246049961</v>
          </cell>
          <cell r="U108">
            <v>12562.541945529998</v>
          </cell>
          <cell r="V108">
            <v>13580.245774969968</v>
          </cell>
          <cell r="W108">
            <v>14881.374298569979</v>
          </cell>
          <cell r="X108">
            <v>19001.165883410074</v>
          </cell>
          <cell r="Y108">
            <v>20216.503893430327</v>
          </cell>
          <cell r="Z108">
            <v>20848.777289670146</v>
          </cell>
          <cell r="AA108">
            <v>22008.14054840005</v>
          </cell>
          <cell r="AB108">
            <v>22549.923947650135</v>
          </cell>
          <cell r="AC108">
            <v>24005.040408470075</v>
          </cell>
          <cell r="AD108">
            <v>25511.304277360057</v>
          </cell>
          <cell r="AE108">
            <v>25705.566967050319</v>
          </cell>
          <cell r="AF108">
            <v>27734.519769890019</v>
          </cell>
          <cell r="AG108">
            <v>28977.297014400043</v>
          </cell>
          <cell r="AH108">
            <v>29055.017993189966</v>
          </cell>
          <cell r="AI108">
            <v>28243.753341199928</v>
          </cell>
        </row>
        <row r="110">
          <cell r="C110" t="str">
            <v>Utlåning</v>
          </cell>
        </row>
        <row r="111">
          <cell r="A111" t="str">
            <v>UtlåningIntern</v>
          </cell>
          <cell r="C111" t="str">
            <v>Total intern utlåning</v>
          </cell>
          <cell r="I111">
            <v>5821.8409268799996</v>
          </cell>
          <cell r="J111">
            <v>5746.7330000000002</v>
          </cell>
          <cell r="K111">
            <v>5879.43252803</v>
          </cell>
          <cell r="L111">
            <v>6540.2121438000004</v>
          </cell>
          <cell r="M111">
            <v>6688.5912854099997</v>
          </cell>
          <cell r="N111">
            <v>6621.6536078899799</v>
          </cell>
          <cell r="O111">
            <v>7518.2266675999899</v>
          </cell>
          <cell r="P111">
            <v>8182.9634892499798</v>
          </cell>
          <cell r="Q111">
            <v>8757.1562563699954</v>
          </cell>
          <cell r="R111">
            <v>8768.3406854599998</v>
          </cell>
          <cell r="S111">
            <v>8927.998141489983</v>
          </cell>
          <cell r="T111">
            <v>9514.5441704100012</v>
          </cell>
          <cell r="U111">
            <v>9786.3361634000012</v>
          </cell>
          <cell r="V111">
            <v>9886.1091330100007</v>
          </cell>
          <cell r="W111">
            <v>10139.359521</v>
          </cell>
          <cell r="X111">
            <v>10350.32</v>
          </cell>
          <cell r="Y111">
            <v>11096.902404959999</v>
          </cell>
          <cell r="Z111">
            <v>11344.797309379999</v>
          </cell>
          <cell r="AA111">
            <v>11992.04185831</v>
          </cell>
          <cell r="AB111">
            <v>13115.988547999999</v>
          </cell>
          <cell r="AC111">
            <v>12672.117849550001</v>
          </cell>
          <cell r="AD111">
            <v>14009.43246226</v>
          </cell>
          <cell r="AE111">
            <v>15117.98906521</v>
          </cell>
          <cell r="AF111">
            <v>16298.1547474</v>
          </cell>
          <cell r="AG111">
            <v>17427.175150679999</v>
          </cell>
          <cell r="AH111">
            <v>18489.377807389999</v>
          </cell>
          <cell r="AI111">
            <v>19326.775305840001</v>
          </cell>
        </row>
        <row r="112">
          <cell r="A112" t="str">
            <v>UtlåningVP</v>
          </cell>
          <cell r="C112" t="str">
            <v>VP-krediter</v>
          </cell>
          <cell r="I112">
            <v>3535.402415529999</v>
          </cell>
          <cell r="J112">
            <v>3388.2611787399997</v>
          </cell>
          <cell r="K112">
            <v>3400.1786056100004</v>
          </cell>
          <cell r="L112">
            <v>3821.5083425100011</v>
          </cell>
          <cell r="M112">
            <v>3803.5287952099993</v>
          </cell>
          <cell r="N112">
            <v>3598.3957894399796</v>
          </cell>
          <cell r="O112">
            <v>3922.009166769989</v>
          </cell>
          <cell r="P112">
            <v>4126.6819950799763</v>
          </cell>
          <cell r="Q112">
            <v>4293.6765719099976</v>
          </cell>
          <cell r="R112">
            <v>4112.1338547799987</v>
          </cell>
          <cell r="S112">
            <v>3934.2840213299787</v>
          </cell>
          <cell r="T112">
            <v>4230.8201392299952</v>
          </cell>
          <cell r="U112">
            <v>4302.1925115500007</v>
          </cell>
          <cell r="V112">
            <v>4234.516392980001</v>
          </cell>
          <cell r="W112">
            <v>4379.2138954800002</v>
          </cell>
          <cell r="X112">
            <v>4366.6200050699999</v>
          </cell>
          <cell r="Y112">
            <v>4812.6362185399994</v>
          </cell>
          <cell r="Z112">
            <v>4603.5959735799988</v>
          </cell>
          <cell r="AA112">
            <v>4776.5122921100001</v>
          </cell>
          <cell r="AB112">
            <v>5164.3525821299991</v>
          </cell>
          <cell r="AC112">
            <v>4285.0624829100016</v>
          </cell>
          <cell r="AD112">
            <v>5369.831148969999</v>
          </cell>
          <cell r="AE112">
            <v>6284.8803080399903</v>
          </cell>
          <cell r="AF112">
            <v>6973.92203865999</v>
          </cell>
          <cell r="AG112">
            <v>7825.9173869599999</v>
          </cell>
          <cell r="AH112">
            <v>8726.8018378500001</v>
          </cell>
          <cell r="AI112">
            <v>9383.4231004400008</v>
          </cell>
        </row>
        <row r="113">
          <cell r="A113" t="str">
            <v>UtlåningBolånPB</v>
          </cell>
          <cell r="C113" t="str">
            <v>Bolånet PB</v>
          </cell>
          <cell r="I113">
            <v>2286.4385113500007</v>
          </cell>
          <cell r="J113">
            <v>2358.4718212600005</v>
          </cell>
          <cell r="K113">
            <v>2479.2539224199995</v>
          </cell>
          <cell r="L113">
            <v>2718.7038012899993</v>
          </cell>
          <cell r="M113">
            <v>2885.0624902000004</v>
          </cell>
          <cell r="N113">
            <v>3023.2578184500003</v>
          </cell>
          <cell r="O113">
            <v>3596.217500830001</v>
          </cell>
          <cell r="P113">
            <v>4056.2814941700035</v>
          </cell>
          <cell r="Q113">
            <v>4463.4796844599978</v>
          </cell>
          <cell r="R113">
            <v>4656.2068306800011</v>
          </cell>
          <cell r="S113">
            <v>4993.7141201600043</v>
          </cell>
          <cell r="T113">
            <v>5283.724031180006</v>
          </cell>
          <cell r="U113">
            <v>5484.1436518500004</v>
          </cell>
          <cell r="V113">
            <v>5651.5927400299997</v>
          </cell>
          <cell r="W113">
            <v>5760.1456255200001</v>
          </cell>
          <cell r="X113">
            <v>5983.6999949299998</v>
          </cell>
          <cell r="Y113">
            <v>6284.2661864199999</v>
          </cell>
          <cell r="Z113">
            <v>6741.2013358000004</v>
          </cell>
          <cell r="AA113">
            <v>7215.5295661999999</v>
          </cell>
          <cell r="AB113">
            <v>7951.6359658700003</v>
          </cell>
          <cell r="AC113">
            <v>8387.0553666399992</v>
          </cell>
          <cell r="AD113">
            <v>8639.6013132900007</v>
          </cell>
          <cell r="AE113">
            <v>8833.10875717001</v>
          </cell>
          <cell r="AF113">
            <v>9324.2327087400099</v>
          </cell>
          <cell r="AG113">
            <v>9601.2577637199993</v>
          </cell>
          <cell r="AH113">
            <v>9762.5759695399993</v>
          </cell>
          <cell r="AI113">
            <v>9943.3522054000005</v>
          </cell>
        </row>
        <row r="114">
          <cell r="A114" t="str">
            <v>BolånPlus</v>
          </cell>
          <cell r="C114" t="str">
            <v>Bolån+</v>
          </cell>
          <cell r="U114">
            <v>633.25712099999998</v>
          </cell>
          <cell r="V114">
            <v>2016.182341</v>
          </cell>
          <cell r="W114">
            <v>2885.3141879999998</v>
          </cell>
          <cell r="X114">
            <v>4209.5469830000002</v>
          </cell>
          <cell r="Y114">
            <v>7049.510663</v>
          </cell>
          <cell r="Z114">
            <v>7892.1289189999998</v>
          </cell>
          <cell r="AA114">
            <v>9201.4569260000007</v>
          </cell>
          <cell r="AB114">
            <v>9843.8792489999996</v>
          </cell>
          <cell r="AC114">
            <v>10419.189439</v>
          </cell>
          <cell r="AD114">
            <v>11178.333452999999</v>
          </cell>
          <cell r="AE114">
            <v>12191.346045</v>
          </cell>
          <cell r="AF114">
            <v>13556.053301</v>
          </cell>
          <cell r="AG114">
            <v>15461.631775</v>
          </cell>
          <cell r="AH114">
            <v>17181.179996999999</v>
          </cell>
          <cell r="AI114">
            <v>17970.870171999999</v>
          </cell>
        </row>
        <row r="115">
          <cell r="A115" t="str">
            <v>UtlåningTotalt</v>
          </cell>
          <cell r="C115" t="str">
            <v>Total utlåning</v>
          </cell>
          <cell r="E115">
            <v>0</v>
          </cell>
          <cell r="F115">
            <v>0</v>
          </cell>
          <cell r="G115">
            <v>0</v>
          </cell>
          <cell r="H115">
            <v>0</v>
          </cell>
          <cell r="I115">
            <v>5821.8409268799996</v>
          </cell>
          <cell r="J115">
            <v>5746.7330000000002</v>
          </cell>
          <cell r="K115">
            <v>5879.43252803</v>
          </cell>
          <cell r="L115">
            <v>6540.2121438000004</v>
          </cell>
          <cell r="M115">
            <v>6688.5912854099997</v>
          </cell>
          <cell r="N115">
            <v>6621.6536078899799</v>
          </cell>
          <cell r="O115">
            <v>7518.2266675999899</v>
          </cell>
          <cell r="P115">
            <v>8182.9634892499798</v>
          </cell>
          <cell r="Q115">
            <v>8757.1562563699954</v>
          </cell>
          <cell r="R115">
            <v>8768.3406854599998</v>
          </cell>
          <cell r="S115">
            <v>8927.998141489983</v>
          </cell>
          <cell r="T115">
            <v>9514.5441704100012</v>
          </cell>
          <cell r="U115">
            <v>10419.593284400002</v>
          </cell>
          <cell r="V115">
            <v>11902.29147401</v>
          </cell>
          <cell r="W115">
            <v>13024.673709000001</v>
          </cell>
          <cell r="X115">
            <v>14559.866983</v>
          </cell>
          <cell r="Y115">
            <v>18146.413067959998</v>
          </cell>
          <cell r="Z115">
            <v>19236.926228379998</v>
          </cell>
          <cell r="AA115">
            <v>21193.498784310003</v>
          </cell>
          <cell r="AB115">
            <v>22959.867796999999</v>
          </cell>
          <cell r="AC115">
            <v>23091.307288550001</v>
          </cell>
          <cell r="AD115">
            <v>25187.765915259999</v>
          </cell>
          <cell r="AE115">
            <v>27309.335110209999</v>
          </cell>
          <cell r="AF115">
            <v>29854.2080484</v>
          </cell>
          <cell r="AG115">
            <v>32888.806925680001</v>
          </cell>
          <cell r="AH115">
            <v>35670.557804390002</v>
          </cell>
          <cell r="AI115">
            <v>37297.64547784</v>
          </cell>
        </row>
        <row r="116">
          <cell r="A116" t="str">
            <v>InlSparkap</v>
          </cell>
          <cell r="C116" t="str">
            <v>Inlåning/Sparkapital, %</v>
          </cell>
          <cell r="E116" t="e">
            <v>#DIV/0!</v>
          </cell>
          <cell r="F116" t="e">
            <v>#DIV/0!</v>
          </cell>
          <cell r="G116" t="e">
            <v>#DIV/0!</v>
          </cell>
          <cell r="H116" t="e">
            <v>#DIV/0!</v>
          </cell>
          <cell r="I116">
            <v>0.15035993784921509</v>
          </cell>
          <cell r="J116">
            <v>0.17941162724431051</v>
          </cell>
          <cell r="K116">
            <v>0.1784327503370412</v>
          </cell>
          <cell r="L116">
            <v>0.15280049740981944</v>
          </cell>
          <cell r="M116">
            <v>0.16607926338180293</v>
          </cell>
          <cell r="N116">
            <v>0.16958900448824263</v>
          </cell>
          <cell r="O116">
            <v>0.14989756900719234</v>
          </cell>
          <cell r="P116">
            <v>0.14614744073505176</v>
          </cell>
          <cell r="Q116">
            <v>0.13755698400128888</v>
          </cell>
          <cell r="R116">
            <v>0.14917901261664682</v>
          </cell>
          <cell r="S116">
            <v>0.1512591407525298</v>
          </cell>
          <cell r="T116">
            <v>0.15285498182523169</v>
          </cell>
          <cell r="U116">
            <v>0.15483340991069033</v>
          </cell>
          <cell r="V116">
            <v>0.15499266484615767</v>
          </cell>
          <cell r="W116">
            <v>0.1528550058522665</v>
          </cell>
          <cell r="X116">
            <v>0.19299147355184201</v>
          </cell>
          <cell r="Y116">
            <v>0.16960067151312821</v>
          </cell>
          <cell r="Z116">
            <v>0.16698490475254613</v>
          </cell>
          <cell r="AA116">
            <v>0.16516227885119766</v>
          </cell>
          <cell r="AB116">
            <v>0.15395414975323699</v>
          </cell>
          <cell r="AC116">
            <v>0.22905883094828397</v>
          </cell>
          <cell r="AD116">
            <v>0.17832030255098896</v>
          </cell>
          <cell r="AE116">
            <v>0.14785140035892738</v>
          </cell>
          <cell r="AF116">
            <v>0.13593362801537026</v>
          </cell>
          <cell r="AG116">
            <v>0.12509977730625282</v>
          </cell>
          <cell r="AH116">
            <v>0.11570939181907704</v>
          </cell>
          <cell r="AI116">
            <v>0.12095719939439513</v>
          </cell>
        </row>
        <row r="119">
          <cell r="A119" t="str">
            <v>AvkSnittkonto</v>
          </cell>
          <cell r="C119" t="str">
            <v>Avkastning, genomsnittligt konto sedan årsskiftet, %</v>
          </cell>
          <cell r="E119">
            <v>0.03</v>
          </cell>
          <cell r="F119">
            <v>7.0000000000000007E-2</v>
          </cell>
          <cell r="G119">
            <v>0.06</v>
          </cell>
          <cell r="H119">
            <v>0.08</v>
          </cell>
          <cell r="I119">
            <v>0.11</v>
          </cell>
          <cell r="J119">
            <v>0.1</v>
          </cell>
          <cell r="K119">
            <v>7.0000000000000007E-2</v>
          </cell>
          <cell r="L119">
            <v>0.16</v>
          </cell>
          <cell r="M119">
            <v>-0.04</v>
          </cell>
          <cell r="N119">
            <v>-0.03</v>
          </cell>
          <cell r="O119">
            <v>0.05</v>
          </cell>
          <cell r="P119">
            <v>5.8999999999999997E-2</v>
          </cell>
          <cell r="Q119">
            <v>2.8559037402825505E-2</v>
          </cell>
          <cell r="R119">
            <v>5.6068704085203036E-2</v>
          </cell>
          <cell r="S119">
            <v>7.3933627316355555E-2</v>
          </cell>
          <cell r="T119">
            <v>6.414694349874811E-2</v>
          </cell>
          <cell r="U119">
            <v>-7.5375366873077559E-3</v>
          </cell>
          <cell r="V119">
            <v>3.9457396994534072E-2</v>
          </cell>
          <cell r="W119">
            <v>9.1567479125303747E-2</v>
          </cell>
          <cell r="X119">
            <v>-3.5357153818639971E-2</v>
          </cell>
          <cell r="Y119">
            <v>9.2568166813079528E-2</v>
          </cell>
          <cell r="Z119">
            <v>0.14118266085868172</v>
          </cell>
          <cell r="AA119">
            <v>0.16405848801116982</v>
          </cell>
          <cell r="AB119">
            <v>0.23760234570543565</v>
          </cell>
          <cell r="AC119">
            <v>-0.14675215328099822</v>
          </cell>
          <cell r="AD119">
            <v>-1.0279025283897188E-2</v>
          </cell>
          <cell r="AE119">
            <v>0.1119776576436778</v>
          </cell>
          <cell r="AF119">
            <v>0.19408245516328226</v>
          </cell>
          <cell r="AG119">
            <v>9.0290769867938908E-2</v>
          </cell>
          <cell r="AH119">
            <v>0.14997836999782749</v>
          </cell>
          <cell r="AI119">
            <v>0.1525842242052069</v>
          </cell>
        </row>
        <row r="120">
          <cell r="A120" t="str">
            <v>OMXSGI</v>
          </cell>
          <cell r="C120" t="str">
            <v>OMXSGI vid periodens slut</v>
          </cell>
          <cell r="T120">
            <v>230.54</v>
          </cell>
          <cell r="U120">
            <v>229.86</v>
          </cell>
          <cell r="V120">
            <v>240.35</v>
          </cell>
          <cell r="W120">
            <v>256.97000000000003</v>
          </cell>
          <cell r="X120">
            <v>220.96</v>
          </cell>
          <cell r="Y120">
            <v>249.79</v>
          </cell>
          <cell r="Z120">
            <v>265.89</v>
          </cell>
          <cell r="AA120">
            <v>270.77999999999997</v>
          </cell>
          <cell r="AB120">
            <v>297.35000000000002</v>
          </cell>
          <cell r="AC120">
            <v>243.94</v>
          </cell>
          <cell r="AD120">
            <v>284.83</v>
          </cell>
          <cell r="AE120">
            <v>321.32</v>
          </cell>
          <cell r="AF120">
            <v>340.63</v>
          </cell>
          <cell r="AG120">
            <v>389.43</v>
          </cell>
          <cell r="AH120">
            <v>416.26</v>
          </cell>
          <cell r="AI120">
            <v>421.77</v>
          </cell>
        </row>
        <row r="121">
          <cell r="A121" t="str">
            <v>OMXSGIQ</v>
          </cell>
          <cell r="C121" t="str">
            <v>OMXSGI - Utveckling under kvartalet, %</v>
          </cell>
          <cell r="E121" t="e">
            <v>#DIV/0!</v>
          </cell>
          <cell r="F121" t="e">
            <v>#DIV/0!</v>
          </cell>
          <cell r="G121" t="e">
            <v>#DIV/0!</v>
          </cell>
          <cell r="H121" t="e">
            <v>#DIV/0!</v>
          </cell>
          <cell r="I121" t="e">
            <v>#DIV/0!</v>
          </cell>
          <cell r="J121" t="e">
            <v>#DIV/0!</v>
          </cell>
          <cell r="K121" t="e">
            <v>#DIV/0!</v>
          </cell>
          <cell r="L121" t="e">
            <v>#DIV/0!</v>
          </cell>
          <cell r="M121" t="e">
            <v>#DIV/0!</v>
          </cell>
          <cell r="N121" t="e">
            <v>#DIV/0!</v>
          </cell>
          <cell r="O121" t="e">
            <v>#DIV/0!</v>
          </cell>
          <cell r="P121" t="e">
            <v>#DIV/0!</v>
          </cell>
          <cell r="Q121" t="e">
            <v>#DIV/0!</v>
          </cell>
          <cell r="R121" t="e">
            <v>#DIV/0!</v>
          </cell>
          <cell r="S121" t="e">
            <v>#DIV/0!</v>
          </cell>
          <cell r="T121" t="e">
            <v>#DIV/0!</v>
          </cell>
          <cell r="U121">
            <v>-2.9495965992885065E-3</v>
          </cell>
          <cell r="V121">
            <v>4.5636474375706948E-2</v>
          </cell>
          <cell r="W121">
            <v>6.9149157478677115E-2</v>
          </cell>
          <cell r="X121">
            <v>-0.14013308946569647</v>
          </cell>
          <cell r="Y121">
            <v>0.13047610427226641</v>
          </cell>
          <cell r="Z121">
            <v>6.4454141478842208E-2</v>
          </cell>
          <cell r="AA121">
            <v>1.8391063973823618E-2</v>
          </cell>
          <cell r="AB121">
            <v>9.8123938252456133E-2</v>
          </cell>
          <cell r="AC121">
            <v>-0.17961997645871874</v>
          </cell>
          <cell r="AD121">
            <v>0.16762318602935133</v>
          </cell>
          <cell r="AE121">
            <v>0.12811150510831015</v>
          </cell>
          <cell r="AF121">
            <v>6.0095854599775844E-2</v>
          </cell>
          <cell r="AG121">
            <v>0.14326395208877662</v>
          </cell>
          <cell r="AH121">
            <v>6.8895565313406681E-2</v>
          </cell>
          <cell r="AI121">
            <v>1.3236919233171607E-2</v>
          </cell>
        </row>
        <row r="122">
          <cell r="A122" t="str">
            <v>OMXSGIYTD</v>
          </cell>
          <cell r="C122" t="str">
            <v>OMXSGI - Utveckling sedan årsskiftet, %</v>
          </cell>
          <cell r="E122" t="e">
            <v>#DIV/0!</v>
          </cell>
          <cell r="F122" t="e">
            <v>#DIV/0!</v>
          </cell>
          <cell r="G122" t="e">
            <v>#DIV/0!</v>
          </cell>
          <cell r="H122" t="e">
            <v>#DIV/0!</v>
          </cell>
          <cell r="I122" t="e">
            <v>#DIV/0!</v>
          </cell>
          <cell r="J122" t="e">
            <v>#DIV/0!</v>
          </cell>
          <cell r="K122" t="e">
            <v>#DIV/0!</v>
          </cell>
          <cell r="L122" t="e">
            <v>#DIV/0!</v>
          </cell>
          <cell r="M122" t="e">
            <v>#DIV/0!</v>
          </cell>
          <cell r="N122" t="e">
            <v>#DIV/0!</v>
          </cell>
          <cell r="O122" t="e">
            <v>#DIV/0!</v>
          </cell>
          <cell r="P122" t="e">
            <v>#DIV/0!</v>
          </cell>
          <cell r="Q122" t="e">
            <v>#DIV/0!</v>
          </cell>
          <cell r="R122" t="e">
            <v>#DIV/0!</v>
          </cell>
          <cell r="S122" t="e">
            <v>#DIV/0!</v>
          </cell>
          <cell r="T122" t="e">
            <v>#DIV/0!</v>
          </cell>
          <cell r="U122">
            <v>-2.9495965992885065E-3</v>
          </cell>
          <cell r="V122">
            <v>4.2552268586796282E-2</v>
          </cell>
          <cell r="W122">
            <v>0.11464387958705657</v>
          </cell>
          <cell r="X122">
            <v>-4.1554610913507317E-2</v>
          </cell>
          <cell r="Y122">
            <v>0.13047610427226641</v>
          </cell>
          <cell r="Z122">
            <v>0.20333997103548151</v>
          </cell>
          <cell r="AA122">
            <v>0.22547067342505422</v>
          </cell>
          <cell r="AB122">
            <v>0.34571868211440981</v>
          </cell>
          <cell r="AC122">
            <v>-0.17961997645871874</v>
          </cell>
          <cell r="AD122">
            <v>-4.2105263157894868E-2</v>
          </cell>
          <cell r="AE122">
            <v>8.0612073314275889E-2</v>
          </cell>
          <cell r="AF122">
            <v>0.14555237935093324</v>
          </cell>
          <cell r="AG122">
            <v>0.14326395208877662</v>
          </cell>
          <cell r="AH122">
            <v>0.22202976837037247</v>
          </cell>
          <cell r="AI122">
            <v>0.23820567771482248</v>
          </cell>
        </row>
        <row r="124">
          <cell r="C124" t="str">
            <v>Koncernens resultaträkning (kSEK) - Kvartal</v>
          </cell>
        </row>
        <row r="125">
          <cell r="C125" t="str">
            <v>Rörelsens intäkter</v>
          </cell>
        </row>
        <row r="126">
          <cell r="A126" t="str">
            <v>ProvisIntQ</v>
          </cell>
          <cell r="C126" t="str">
            <v>Provisionsintäkter</v>
          </cell>
          <cell r="E126">
            <v>142524.29801000003</v>
          </cell>
          <cell r="F126">
            <v>127523.64240999985</v>
          </cell>
          <cell r="G126">
            <v>136980.70851999987</v>
          </cell>
          <cell r="H126">
            <v>170090.05066000018</v>
          </cell>
          <cell r="I126">
            <v>205833</v>
          </cell>
          <cell r="J126">
            <v>217850</v>
          </cell>
          <cell r="K126">
            <v>203144</v>
          </cell>
          <cell r="L126">
            <v>255474</v>
          </cell>
          <cell r="M126">
            <v>228939.95214999997</v>
          </cell>
          <cell r="N126">
            <v>228096.06753000017</v>
          </cell>
          <cell r="O126">
            <v>226650.09075000021</v>
          </cell>
          <cell r="P126">
            <v>250353.45764999837</v>
          </cell>
          <cell r="Q126">
            <v>252798.10407999996</v>
          </cell>
          <cell r="R126">
            <v>243481.79645999987</v>
          </cell>
          <cell r="S126">
            <v>236026.82210000011</v>
          </cell>
          <cell r="T126">
            <v>290408.22914999945</v>
          </cell>
          <cell r="U126">
            <v>295615.27813000005</v>
          </cell>
          <cell r="V126">
            <v>266449.98592999991</v>
          </cell>
          <cell r="W126">
            <v>284813.51431999798</v>
          </cell>
          <cell r="X126">
            <v>292346.78675980191</v>
          </cell>
          <cell r="Y126">
            <v>288168.15437</v>
          </cell>
          <cell r="Z126">
            <v>291141.67422003695</v>
          </cell>
          <cell r="AA126">
            <v>318959.50368996104</v>
          </cell>
          <cell r="AB126">
            <v>329278.97766000207</v>
          </cell>
          <cell r="AC126">
            <v>548049.70834999904</v>
          </cell>
          <cell r="AD126">
            <v>525238.54738000105</v>
          </cell>
          <cell r="AE126">
            <v>580405.75131999981</v>
          </cell>
          <cell r="AF126">
            <v>656790.46218999499</v>
          </cell>
          <cell r="AG126">
            <v>1009744.3462499976</v>
          </cell>
          <cell r="AH126">
            <v>779660.2232600078</v>
          </cell>
          <cell r="AI126">
            <v>782936.42185998708</v>
          </cell>
        </row>
        <row r="127">
          <cell r="A127" t="str">
            <v>ProvisKostnQ</v>
          </cell>
          <cell r="C127" t="str">
            <v>Provisionskostnader</v>
          </cell>
          <cell r="E127">
            <v>-23689.601227498999</v>
          </cell>
          <cell r="F127">
            <v>-19514.816777403001</v>
          </cell>
          <cell r="G127">
            <v>-20777.732093297898</v>
          </cell>
          <cell r="H127">
            <v>-26759.943027111804</v>
          </cell>
          <cell r="I127">
            <v>-30628</v>
          </cell>
          <cell r="J127">
            <v>-29447</v>
          </cell>
          <cell r="K127">
            <v>-30877</v>
          </cell>
          <cell r="L127">
            <v>-35821.753570000001</v>
          </cell>
          <cell r="M127">
            <v>-36730.3578399998</v>
          </cell>
          <cell r="N127">
            <v>-36641.893440000094</v>
          </cell>
          <cell r="O127">
            <v>-33526.079770003111</v>
          </cell>
          <cell r="P127">
            <v>-36270.501079999987</v>
          </cell>
          <cell r="Q127">
            <v>-37249.958169999198</v>
          </cell>
          <cell r="R127">
            <v>-37109.480369999801</v>
          </cell>
          <cell r="S127">
            <v>-36389.263120001007</v>
          </cell>
          <cell r="T127">
            <v>-46582.658529997003</v>
          </cell>
          <cell r="U127">
            <v>-46853.549409999512</v>
          </cell>
          <cell r="V127">
            <v>-45062.478459998034</v>
          </cell>
          <cell r="W127">
            <v>-42409.566550001502</v>
          </cell>
          <cell r="X127">
            <v>-48630.443590001349</v>
          </cell>
          <cell r="Y127">
            <v>-50695.30768732354</v>
          </cell>
          <cell r="Z127">
            <v>-48963.158758222911</v>
          </cell>
          <cell r="AA127">
            <v>-50458.856696423289</v>
          </cell>
          <cell r="AB127">
            <v>-49851.131818026304</v>
          </cell>
          <cell r="AC127">
            <v>-69776.105223916471</v>
          </cell>
          <cell r="AD127">
            <v>-74846.063256952912</v>
          </cell>
          <cell r="AE127">
            <v>-79707.62665611878</v>
          </cell>
          <cell r="AF127">
            <v>-87940.141415707767</v>
          </cell>
          <cell r="AG127">
            <v>-128743.32793762907</v>
          </cell>
          <cell r="AH127">
            <v>-106310.95637650415</v>
          </cell>
          <cell r="AI127">
            <v>-98838.979116506875</v>
          </cell>
        </row>
        <row r="128">
          <cell r="A128" t="str">
            <v>RänteintQ</v>
          </cell>
          <cell r="C128" t="str">
            <v>Ränteintäkter enligt effektivräntemetoden</v>
          </cell>
          <cell r="E128">
            <v>63763.097099999999</v>
          </cell>
          <cell r="F128">
            <v>68290.008430000031</v>
          </cell>
          <cell r="G128">
            <v>57591.944309999933</v>
          </cell>
          <cell r="H128">
            <v>56861.365880000027</v>
          </cell>
          <cell r="I128">
            <v>48842</v>
          </cell>
          <cell r="J128">
            <v>46592</v>
          </cell>
          <cell r="K128">
            <v>47867</v>
          </cell>
          <cell r="L128">
            <v>50765</v>
          </cell>
          <cell r="M128">
            <v>53028.598679999996</v>
          </cell>
          <cell r="N128">
            <v>50812.932219999988</v>
          </cell>
          <cell r="O128">
            <v>51330.714359999984</v>
          </cell>
          <cell r="P128">
            <v>56011.695769999991</v>
          </cell>
          <cell r="Q128">
            <v>53850.355750000002</v>
          </cell>
          <cell r="R128">
            <v>54200.972030000004</v>
          </cell>
          <cell r="S128">
            <v>54242.79902999998</v>
          </cell>
          <cell r="T128">
            <v>55639.213829999993</v>
          </cell>
          <cell r="U128">
            <v>51525.225509999997</v>
          </cell>
          <cell r="V128">
            <v>51815.059629999996</v>
          </cell>
          <cell r="W128">
            <v>53349.083270000003</v>
          </cell>
          <cell r="X128">
            <v>55407.918470000004</v>
          </cell>
          <cell r="Y128">
            <v>51593.082240000011</v>
          </cell>
          <cell r="Z128">
            <v>62672.278849999864</v>
          </cell>
          <cell r="AA128">
            <v>67273.087220000103</v>
          </cell>
          <cell r="AB128">
            <v>71062.272880000324</v>
          </cell>
          <cell r="AC128">
            <v>81524.754839999994</v>
          </cell>
          <cell r="AD128">
            <v>93229.682490000196</v>
          </cell>
          <cell r="AE128">
            <v>94203.573290000058</v>
          </cell>
          <cell r="AF128">
            <v>94844.381959999795</v>
          </cell>
          <cell r="AG128">
            <v>98286.143690000012</v>
          </cell>
          <cell r="AH128">
            <v>105276.48002999996</v>
          </cell>
          <cell r="AI128">
            <v>109586.65628999996</v>
          </cell>
        </row>
        <row r="129">
          <cell r="A129" t="str">
            <v>ÖvrRänteintQ</v>
          </cell>
          <cell r="C129" t="str">
            <v>Övriga ränteintäkter</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183.39022999999997</v>
          </cell>
          <cell r="V129">
            <v>-9.0949470177292824E-13</v>
          </cell>
          <cell r="W129">
            <v>124.99999000000207</v>
          </cell>
          <cell r="X129">
            <v>15.008999999998196</v>
          </cell>
          <cell r="Y129">
            <v>0</v>
          </cell>
          <cell r="Z129">
            <v>0</v>
          </cell>
          <cell r="AA129">
            <v>0</v>
          </cell>
          <cell r="AB129">
            <v>0</v>
          </cell>
          <cell r="AC129">
            <v>0</v>
          </cell>
          <cell r="AD129">
            <v>0</v>
          </cell>
          <cell r="AE129">
            <v>0</v>
          </cell>
          <cell r="AF129">
            <v>0</v>
          </cell>
          <cell r="AG129">
            <v>0</v>
          </cell>
          <cell r="AH129">
            <v>0</v>
          </cell>
          <cell r="AI129">
            <v>0</v>
          </cell>
        </row>
        <row r="130">
          <cell r="A130" t="str">
            <v>RäntekostnQ</v>
          </cell>
          <cell r="C130" t="str">
            <v>Räntekostnader</v>
          </cell>
          <cell r="E130">
            <v>-14527.554760000001</v>
          </cell>
          <cell r="F130">
            <v>-16030.106549999999</v>
          </cell>
          <cell r="G130">
            <v>-12115.978620000005</v>
          </cell>
          <cell r="H130">
            <v>-12323.214049999995</v>
          </cell>
          <cell r="I130">
            <v>-5565</v>
          </cell>
          <cell r="J130">
            <v>-10419</v>
          </cell>
          <cell r="K130">
            <v>-19008</v>
          </cell>
          <cell r="L130">
            <v>-20354</v>
          </cell>
          <cell r="M130">
            <v>-21552.365279999998</v>
          </cell>
          <cell r="N130">
            <v>-23857.70579</v>
          </cell>
          <cell r="O130">
            <v>-26003.809560000002</v>
          </cell>
          <cell r="P130">
            <v>-25501.287760000007</v>
          </cell>
          <cell r="Q130">
            <v>-24912.67856</v>
          </cell>
          <cell r="R130">
            <v>-27369.087209999991</v>
          </cell>
          <cell r="S130">
            <v>-29042.621059999998</v>
          </cell>
          <cell r="T130">
            <v>-29099.865310000008</v>
          </cell>
          <cell r="U130">
            <v>-29035.490460000005</v>
          </cell>
          <cell r="V130">
            <v>-29456.00059</v>
          </cell>
          <cell r="W130">
            <v>-28978.069769999995</v>
          </cell>
          <cell r="X130">
            <v>-34393.190689999828</v>
          </cell>
          <cell r="Y130">
            <v>-21316.934540000002</v>
          </cell>
          <cell r="Z130">
            <v>-20692.108480000032</v>
          </cell>
          <cell r="AA130">
            <v>-22523.739749999972</v>
          </cell>
          <cell r="AB130">
            <v>-22734.57782999998</v>
          </cell>
          <cell r="AC130">
            <v>-17852.391770000002</v>
          </cell>
          <cell r="AD130">
            <v>-19808.881130000031</v>
          </cell>
          <cell r="AE130">
            <v>-20596.647309999957</v>
          </cell>
          <cell r="AF130">
            <v>-22228.322510000005</v>
          </cell>
          <cell r="AG130">
            <v>-21895.422609999998</v>
          </cell>
          <cell r="AH130">
            <v>-25282.311650000007</v>
          </cell>
          <cell r="AI130">
            <v>-26741.581700000002</v>
          </cell>
        </row>
        <row r="131">
          <cell r="A131" t="str">
            <v>NetFinTransQ</v>
          </cell>
          <cell r="C131" t="str">
            <v>Nettoresultat av finansiella transaktioner</v>
          </cell>
          <cell r="E131">
            <v>95.18258999999999</v>
          </cell>
          <cell r="F131">
            <v>-15.294400000000323</v>
          </cell>
          <cell r="G131">
            <v>44.647600000000239</v>
          </cell>
          <cell r="H131">
            <v>39.109910000000127</v>
          </cell>
          <cell r="I131">
            <v>875</v>
          </cell>
          <cell r="J131">
            <v>485</v>
          </cell>
          <cell r="K131">
            <v>132</v>
          </cell>
          <cell r="L131">
            <v>71</v>
          </cell>
          <cell r="M131">
            <v>390.60632999999996</v>
          </cell>
          <cell r="N131">
            <v>2264.3969699999998</v>
          </cell>
          <cell r="O131">
            <v>240.28227000000061</v>
          </cell>
          <cell r="P131">
            <v>587.38243999999941</v>
          </cell>
          <cell r="Q131">
            <v>0.72023999999999688</v>
          </cell>
          <cell r="R131">
            <v>334.91106000000002</v>
          </cell>
          <cell r="S131">
            <v>1777.0622999999996</v>
          </cell>
          <cell r="T131">
            <v>371.03209999999945</v>
          </cell>
          <cell r="U131">
            <v>-122.84312</v>
          </cell>
          <cell r="V131">
            <v>-64.06534000000002</v>
          </cell>
          <cell r="W131">
            <v>188.87835000000032</v>
          </cell>
          <cell r="X131">
            <v>2025.588579999998</v>
          </cell>
          <cell r="Y131">
            <v>-152.13499000000002</v>
          </cell>
          <cell r="Z131">
            <v>-59.66208000000006</v>
          </cell>
          <cell r="AA131">
            <v>-227.2481499999999</v>
          </cell>
          <cell r="AB131">
            <v>911.85598000000027</v>
          </cell>
          <cell r="AC131">
            <v>-290.98545000000001</v>
          </cell>
          <cell r="AD131">
            <v>1830.8895299999995</v>
          </cell>
          <cell r="AE131">
            <v>1095.3586899999998</v>
          </cell>
          <cell r="AF131">
            <v>64549.752890000003</v>
          </cell>
          <cell r="AG131">
            <v>-644.64333999999997</v>
          </cell>
          <cell r="AH131">
            <v>223.65033999999997</v>
          </cell>
          <cell r="AI131">
            <v>-8.3669599999997786</v>
          </cell>
        </row>
        <row r="132">
          <cell r="A132" t="str">
            <v>ÖvrRörIntQ</v>
          </cell>
          <cell r="C132" t="str">
            <v>Övriga rörelseintäkter</v>
          </cell>
          <cell r="E132">
            <v>0</v>
          </cell>
          <cell r="F132">
            <v>0</v>
          </cell>
          <cell r="G132">
            <v>18.914000000000001</v>
          </cell>
          <cell r="H132">
            <v>0</v>
          </cell>
          <cell r="I132">
            <v>0</v>
          </cell>
          <cell r="J132">
            <v>0</v>
          </cell>
          <cell r="K132">
            <v>0</v>
          </cell>
          <cell r="L132">
            <v>30</v>
          </cell>
          <cell r="M132">
            <v>0</v>
          </cell>
          <cell r="N132">
            <v>0.97699999999999998</v>
          </cell>
          <cell r="O132">
            <v>0.24199999999999988</v>
          </cell>
          <cell r="P132">
            <v>3.6310499999999997</v>
          </cell>
          <cell r="Q132">
            <v>0</v>
          </cell>
          <cell r="R132">
            <v>11.95426</v>
          </cell>
          <cell r="S132">
            <v>55.372999999999998</v>
          </cell>
          <cell r="T132">
            <v>53.212000000000003</v>
          </cell>
          <cell r="U132">
            <v>0</v>
          </cell>
          <cell r="V132">
            <v>1.49</v>
          </cell>
          <cell r="W132">
            <v>0</v>
          </cell>
          <cell r="X132">
            <v>140.42399999999998</v>
          </cell>
          <cell r="Y132">
            <v>55.5</v>
          </cell>
          <cell r="Z132">
            <v>0</v>
          </cell>
          <cell r="AA132">
            <v>6.4456999999999951</v>
          </cell>
          <cell r="AB132">
            <v>1.9640000000000057</v>
          </cell>
          <cell r="AC132">
            <v>0</v>
          </cell>
          <cell r="AD132">
            <v>0</v>
          </cell>
          <cell r="AE132">
            <v>0</v>
          </cell>
          <cell r="AF132">
            <v>65.542400000000001</v>
          </cell>
          <cell r="AG132">
            <v>0</v>
          </cell>
          <cell r="AH132">
            <v>0</v>
          </cell>
          <cell r="AI132">
            <v>0</v>
          </cell>
        </row>
        <row r="133">
          <cell r="A133" t="str">
            <v>RörelsensIntQ</v>
          </cell>
          <cell r="C133" t="str">
            <v>Summa rörelsens intäkter</v>
          </cell>
          <cell r="E133">
            <v>168165.42171250103</v>
          </cell>
          <cell r="F133">
            <v>160253.43311259689</v>
          </cell>
          <cell r="G133">
            <v>161742.50371670187</v>
          </cell>
          <cell r="H133">
            <v>187907.36937288841</v>
          </cell>
          <cell r="I133">
            <v>219357</v>
          </cell>
          <cell r="J133">
            <v>225061</v>
          </cell>
          <cell r="K133">
            <v>201258</v>
          </cell>
          <cell r="L133">
            <v>250164.24643</v>
          </cell>
          <cell r="M133">
            <v>224076.43404000017</v>
          </cell>
          <cell r="N133">
            <v>220674.77449000007</v>
          </cell>
          <cell r="O133">
            <v>218691.44004999709</v>
          </cell>
          <cell r="P133">
            <v>245184.37806999838</v>
          </cell>
          <cell r="Q133">
            <v>244486.54334000076</v>
          </cell>
          <cell r="R133">
            <v>233551.06623000008</v>
          </cell>
          <cell r="S133">
            <v>226670.17224999907</v>
          </cell>
          <cell r="T133">
            <v>270789.16324000247</v>
          </cell>
          <cell r="U133">
            <v>271312.0108800006</v>
          </cell>
          <cell r="V133">
            <v>243683.99117000183</v>
          </cell>
          <cell r="W133">
            <v>267088.83960999647</v>
          </cell>
          <cell r="X133">
            <v>266912.09252980072</v>
          </cell>
          <cell r="Y133">
            <v>267652.3593926765</v>
          </cell>
          <cell r="Z133">
            <v>284099.02375181386</v>
          </cell>
          <cell r="AA133">
            <v>313029.19201353792</v>
          </cell>
          <cell r="AB133">
            <v>328669.36087197607</v>
          </cell>
          <cell r="AC133">
            <v>541654.9807460825</v>
          </cell>
          <cell r="AD133">
            <v>525644.17501304823</v>
          </cell>
          <cell r="AE133">
            <v>575400.40933388122</v>
          </cell>
          <cell r="AF133">
            <v>706081.67551428708</v>
          </cell>
          <cell r="AG133">
            <v>956747.09605236864</v>
          </cell>
          <cell r="AH133">
            <v>753567.08560350363</v>
          </cell>
          <cell r="AI133">
            <v>766934.15037348017</v>
          </cell>
        </row>
        <row r="134">
          <cell r="A134" t="str">
            <v>DeltaRörIntQ</v>
          </cell>
          <cell r="C134" t="str">
            <v>Förändring rörelsens intäkter (år mot år) - kvartal</v>
          </cell>
          <cell r="I134">
            <v>0.30441203528164729</v>
          </cell>
          <cell r="J134">
            <v>0.40440673019384343</v>
          </cell>
          <cell r="K134">
            <v>0.24431114503155582</v>
          </cell>
          <cell r="L134">
            <v>0.33131684651264193</v>
          </cell>
          <cell r="M134">
            <v>2.1514854962459307E-2</v>
          </cell>
          <cell r="N134">
            <v>-1.94890519014842E-2</v>
          </cell>
          <cell r="O134">
            <v>8.6622345695560377E-2</v>
          </cell>
          <cell r="P134">
            <v>-1.9906395222608508E-2</v>
          </cell>
          <cell r="Q134">
            <v>9.1085478878859538E-2</v>
          </cell>
          <cell r="R134">
            <v>5.8349631351196862E-2</v>
          </cell>
          <cell r="S134">
            <v>3.6483971197857068E-2</v>
          </cell>
          <cell r="T134">
            <v>0.10443073645864209</v>
          </cell>
          <cell r="U134">
            <v>0.10972165246205146</v>
          </cell>
          <cell r="V134">
            <v>4.3386335603464499E-2</v>
          </cell>
          <cell r="W134">
            <v>0.17831489233360109</v>
          </cell>
          <cell r="X134">
            <v>-1.4317673070120107E-2</v>
          </cell>
          <cell r="Y134">
            <v>-1.3488719041424013E-2</v>
          </cell>
          <cell r="Z134">
            <v>0.16585017500643784</v>
          </cell>
          <cell r="AA134">
            <v>0.17200401361069084</v>
          </cell>
          <cell r="AB134">
            <v>0.2313768093338826</v>
          </cell>
          <cell r="AC134">
            <v>1.0237257836065363</v>
          </cell>
          <cell r="AD134">
            <v>0.85021464724301854</v>
          </cell>
          <cell r="AE134">
            <v>0.83816852873260528</v>
          </cell>
          <cell r="AF134">
            <v>1.1483039174720076</v>
          </cell>
          <cell r="AG134">
            <v>0.76634043821499231</v>
          </cell>
          <cell r="AH134">
            <v>0.43360684170959862</v>
          </cell>
          <cell r="AI134">
            <v>0.33287035937518739</v>
          </cell>
        </row>
        <row r="136">
          <cell r="C136" t="str">
            <v>Rörelsens kostnader</v>
          </cell>
        </row>
        <row r="137">
          <cell r="A137" t="str">
            <v>AllmAdminKostnQ</v>
          </cell>
          <cell r="C137" t="str">
            <v>Allmänna administrationskostnader</v>
          </cell>
          <cell r="E137">
            <v>-83132.554363001997</v>
          </cell>
          <cell r="F137">
            <v>-83142.287998116008</v>
          </cell>
          <cell r="G137">
            <v>-74171.502800092945</v>
          </cell>
          <cell r="H137">
            <v>-93704.948667382036</v>
          </cell>
          <cell r="I137">
            <v>-91991</v>
          </cell>
          <cell r="J137">
            <v>-94713</v>
          </cell>
          <cell r="K137">
            <v>-82559</v>
          </cell>
          <cell r="L137">
            <v>-102835.76228874602</v>
          </cell>
          <cell r="M137">
            <v>-97985.448179186991</v>
          </cell>
          <cell r="N137">
            <v>-99031.619434979017</v>
          </cell>
          <cell r="O137">
            <v>-86370.621551964956</v>
          </cell>
          <cell r="P137">
            <v>-113486.70936168503</v>
          </cell>
          <cell r="Q137">
            <v>-113000.91337409819</v>
          </cell>
          <cell r="R137">
            <v>-121941.80748831586</v>
          </cell>
          <cell r="S137">
            <v>-110178.08950497</v>
          </cell>
          <cell r="T137">
            <v>-143802.67199330695</v>
          </cell>
          <cell r="U137">
            <v>-137917.48711941601</v>
          </cell>
          <cell r="V137">
            <v>-141663.264343674</v>
          </cell>
          <cell r="W137">
            <v>-120808.44460133801</v>
          </cell>
          <cell r="X137">
            <v>-140463.84162596095</v>
          </cell>
          <cell r="Y137">
            <v>-138496.15536188299</v>
          </cell>
          <cell r="Z137">
            <v>-144617.876133435</v>
          </cell>
          <cell r="AA137">
            <v>-127266.459840992</v>
          </cell>
          <cell r="AB137">
            <v>-158490.79414013802</v>
          </cell>
          <cell r="AC137">
            <v>-152075.96898124</v>
          </cell>
          <cell r="AD137">
            <v>-162512.30426397297</v>
          </cell>
          <cell r="AE137">
            <v>-147528.37831794005</v>
          </cell>
          <cell r="AF137">
            <v>-178281.65935267403</v>
          </cell>
          <cell r="AG137">
            <v>-172066.512440747</v>
          </cell>
          <cell r="AH137">
            <v>-192079.87871674105</v>
          </cell>
          <cell r="AI137">
            <v>-166268.64686098095</v>
          </cell>
        </row>
        <row r="138">
          <cell r="A138" t="str">
            <v>AvskrQ</v>
          </cell>
          <cell r="C138" t="str">
            <v>Av- och nedskrivningar av materiella och immateriella anläggningstillgångar</v>
          </cell>
          <cell r="E138">
            <v>-2091.2610400000003</v>
          </cell>
          <cell r="F138">
            <v>-1816.2733499999995</v>
          </cell>
          <cell r="G138">
            <v>-1909.0857600000008</v>
          </cell>
          <cell r="H138">
            <v>-1644.1444699999993</v>
          </cell>
          <cell r="I138">
            <v>-1928</v>
          </cell>
          <cell r="J138">
            <v>-2028</v>
          </cell>
          <cell r="K138">
            <v>-2081</v>
          </cell>
          <cell r="L138">
            <v>-2183</v>
          </cell>
          <cell r="M138">
            <v>-2322.6096899999998</v>
          </cell>
          <cell r="N138">
            <v>-1967.9089500000005</v>
          </cell>
          <cell r="O138">
            <v>-1817.2544900000003</v>
          </cell>
          <cell r="P138">
            <v>-1951.2312899999988</v>
          </cell>
          <cell r="Q138">
            <v>-1971.1917599999979</v>
          </cell>
          <cell r="R138">
            <v>-2037.9891200000015</v>
          </cell>
          <cell r="S138">
            <v>-5117.89113</v>
          </cell>
          <cell r="T138">
            <v>-2976.865600000001</v>
          </cell>
          <cell r="U138">
            <v>-4711.5806700000003</v>
          </cell>
          <cell r="V138">
            <v>-4839.2101499999999</v>
          </cell>
          <cell r="W138">
            <v>-4931.2829600000168</v>
          </cell>
          <cell r="X138">
            <v>-5174.525420000009</v>
          </cell>
          <cell r="Y138">
            <v>-13607.147269999999</v>
          </cell>
          <cell r="Z138">
            <v>-13676.799589999993</v>
          </cell>
          <cell r="AA138">
            <v>-13597.490030000004</v>
          </cell>
          <cell r="AB138">
            <v>-22243.801260000182</v>
          </cell>
          <cell r="AC138">
            <v>-14416.619379999998</v>
          </cell>
          <cell r="AD138">
            <v>-16650.980840000004</v>
          </cell>
          <cell r="AE138">
            <v>-19101.207959999992</v>
          </cell>
          <cell r="AF138">
            <v>-34020.662540000019</v>
          </cell>
          <cell r="AG138">
            <v>-16981.514320000028</v>
          </cell>
          <cell r="AH138">
            <v>-17295.003319999978</v>
          </cell>
          <cell r="AI138">
            <v>-17710.889220000412</v>
          </cell>
        </row>
        <row r="139">
          <cell r="A139" t="str">
            <v>ÖvrRörKostnQ</v>
          </cell>
          <cell r="C139" t="str">
            <v>Övriga rörelsekostnader</v>
          </cell>
          <cell r="E139">
            <v>-6911.3389599999991</v>
          </cell>
          <cell r="F139">
            <v>-8308.120027834002</v>
          </cell>
          <cell r="G139">
            <v>-14482.526651750992</v>
          </cell>
          <cell r="H139">
            <v>-11425.947921751009</v>
          </cell>
          <cell r="I139">
            <v>-10424</v>
          </cell>
          <cell r="J139">
            <v>-7118</v>
          </cell>
          <cell r="K139">
            <v>-8250</v>
          </cell>
          <cell r="L139">
            <v>-4887.2464299999992</v>
          </cell>
          <cell r="M139">
            <v>-9130.7057150000001</v>
          </cell>
          <cell r="N139">
            <v>-8278.534318334001</v>
          </cell>
          <cell r="O139">
            <v>-8155.782715000998</v>
          </cell>
          <cell r="P139">
            <v>-12747.443235000999</v>
          </cell>
          <cell r="Q139">
            <v>-9123.4544050000004</v>
          </cell>
          <cell r="R139">
            <v>-6526.7371316669978</v>
          </cell>
          <cell r="S139">
            <v>-7678.7734500000024</v>
          </cell>
          <cell r="T139">
            <v>-10479.557278559405</v>
          </cell>
          <cell r="U139">
            <v>-9527.3120200000012</v>
          </cell>
          <cell r="V139">
            <v>-6561.2791199999992</v>
          </cell>
          <cell r="W139">
            <v>-8819.7647199999992</v>
          </cell>
          <cell r="X139">
            <v>-43895.70448</v>
          </cell>
          <cell r="Y139">
            <v>-12138.12326</v>
          </cell>
          <cell r="Z139">
            <v>-7501.3457999999991</v>
          </cell>
          <cell r="AA139">
            <v>-7545.6447499999995</v>
          </cell>
          <cell r="AB139">
            <v>-6340.457870000002</v>
          </cell>
          <cell r="AC139">
            <v>-12397.329959999999</v>
          </cell>
          <cell r="AD139">
            <v>-6223.7438000000002</v>
          </cell>
          <cell r="AE139">
            <v>-10559.616549999999</v>
          </cell>
          <cell r="AF139">
            <v>-8824.3758999999991</v>
          </cell>
          <cell r="AG139">
            <v>-13392.2520864995</v>
          </cell>
          <cell r="AH139">
            <v>-6982.4400843184976</v>
          </cell>
          <cell r="AI139">
            <v>-8482.0869352429982</v>
          </cell>
        </row>
        <row r="140">
          <cell r="A140" t="str">
            <v>RörelsensKostnQ</v>
          </cell>
          <cell r="C140" t="str">
            <v>Summa rörelsens kostnader före kreditförluster</v>
          </cell>
          <cell r="E140">
            <v>-92135.154363001988</v>
          </cell>
          <cell r="F140">
            <v>-93266.681375950007</v>
          </cell>
          <cell r="G140">
            <v>-90563.115211843935</v>
          </cell>
          <cell r="H140">
            <v>-106775.04105913304</v>
          </cell>
          <cell r="I140">
            <v>-104343</v>
          </cell>
          <cell r="J140">
            <v>-103859</v>
          </cell>
          <cell r="K140">
            <v>-92890</v>
          </cell>
          <cell r="L140">
            <v>-109906.00871874602</v>
          </cell>
          <cell r="M140">
            <v>-109438.76358418699</v>
          </cell>
          <cell r="N140">
            <v>-109278.06270331301</v>
          </cell>
          <cell r="O140">
            <v>-96343.65875696596</v>
          </cell>
          <cell r="P140">
            <v>-128185.38388668603</v>
          </cell>
          <cell r="Q140">
            <v>-124095.55953909819</v>
          </cell>
          <cell r="R140">
            <v>-130506.53373998286</v>
          </cell>
          <cell r="S140">
            <v>-122974.75408497002</v>
          </cell>
          <cell r="T140">
            <v>-157259.09487186634</v>
          </cell>
          <cell r="U140">
            <v>-152156.37980941602</v>
          </cell>
          <cell r="V140">
            <v>-153063.75361367399</v>
          </cell>
          <cell r="W140">
            <v>-134559.49228133803</v>
          </cell>
          <cell r="X140">
            <v>-189534.07152596099</v>
          </cell>
          <cell r="Y140">
            <v>-164241.42589188297</v>
          </cell>
          <cell r="Z140">
            <v>-165796.02152343499</v>
          </cell>
          <cell r="AA140">
            <v>-148409.59462099202</v>
          </cell>
          <cell r="AB140">
            <v>-187075.05327013822</v>
          </cell>
          <cell r="AC140">
            <v>-178889.91832123999</v>
          </cell>
          <cell r="AD140">
            <v>-185387.02890397297</v>
          </cell>
          <cell r="AE140">
            <v>-177189.20282794005</v>
          </cell>
          <cell r="AF140">
            <v>-221126.69779267407</v>
          </cell>
          <cell r="AG140">
            <v>-202440.27884724652</v>
          </cell>
          <cell r="AH140">
            <v>-216357.32212105952</v>
          </cell>
          <cell r="AI140">
            <v>-192461.62301622436</v>
          </cell>
        </row>
        <row r="141">
          <cell r="A141" t="str">
            <v>DeltaRörKostnQ</v>
          </cell>
          <cell r="C141" t="str">
            <v>Förändring rörelsens kostnader (år mot år) - kvartal</v>
          </cell>
          <cell r="I141">
            <v>0.13249932364470229</v>
          </cell>
          <cell r="J141">
            <v>0.11357023181036396</v>
          </cell>
          <cell r="K141">
            <v>2.569351532037123E-2</v>
          </cell>
          <cell r="L141">
            <v>2.9323029319923366E-2</v>
          </cell>
          <cell r="M141">
            <v>4.8836659710636887E-2</v>
          </cell>
          <cell r="N141">
            <v>5.2177112270607395E-2</v>
          </cell>
          <cell r="O141">
            <v>3.7180092119345032E-2</v>
          </cell>
          <cell r="P141">
            <v>0.16631825121334076</v>
          </cell>
          <cell r="Q141">
            <v>0.13392691469541584</v>
          </cell>
          <cell r="R141">
            <v>0.19426104848055892</v>
          </cell>
          <cell r="S141">
            <v>0.27641772869746384</v>
          </cell>
          <cell r="T141">
            <v>0.22680987569441635</v>
          </cell>
          <cell r="U141">
            <v>0.22612267815656084</v>
          </cell>
          <cell r="V141">
            <v>0.17284360581236058</v>
          </cell>
          <cell r="W141">
            <v>9.4204198923329319E-2</v>
          </cell>
          <cell r="X141">
            <v>0.20523440428289419</v>
          </cell>
          <cell r="Y141">
            <v>7.942516835379565E-2</v>
          </cell>
          <cell r="Z141">
            <v>8.3182775864079961E-2</v>
          </cell>
          <cell r="AA141">
            <v>0.10292921075159889</v>
          </cell>
          <cell r="AB141">
            <v>-1.2974016946002975E-2</v>
          </cell>
          <cell r="AC141">
            <v>8.9188780174131344E-2</v>
          </cell>
          <cell r="AD141">
            <v>0.11816331417680503</v>
          </cell>
          <cell r="AE141">
            <v>0.193920132188524</v>
          </cell>
          <cell r="AF141">
            <v>0.18202130068815192</v>
          </cell>
          <cell r="AG141">
            <v>0.13164722051980693</v>
          </cell>
          <cell r="AH141">
            <v>0.16705749803633019</v>
          </cell>
          <cell r="AI141">
            <v>8.6192724751488425E-2</v>
          </cell>
        </row>
        <row r="142">
          <cell r="O142">
            <v>-96513.583756965963</v>
          </cell>
          <cell r="P142">
            <v>-128167.70488668603</v>
          </cell>
          <cell r="Q142">
            <v>-123880.9055390982</v>
          </cell>
          <cell r="R142">
            <v>-130437.97973998285</v>
          </cell>
          <cell r="S142">
            <v>-122892.59708497001</v>
          </cell>
          <cell r="U142">
            <v>-151804.58999941603</v>
          </cell>
          <cell r="V142">
            <v>-153764.85561367401</v>
          </cell>
          <cell r="W142">
            <v>-134997.01328133803</v>
          </cell>
          <cell r="Y142">
            <v>-165422.85289188297</v>
          </cell>
          <cell r="Z142">
            <v>-164144.19592343498</v>
          </cell>
          <cell r="AA142">
            <v>-148863.96066099202</v>
          </cell>
          <cell r="AC142">
            <v>-178367.33849123999</v>
          </cell>
          <cell r="AD142">
            <v>-190354.48668397297</v>
          </cell>
          <cell r="AE142">
            <v>-177599.99829794007</v>
          </cell>
          <cell r="AG142">
            <v>-201005.29008724651</v>
          </cell>
          <cell r="AH142">
            <v>-217216.65532105952</v>
          </cell>
          <cell r="AI142">
            <v>-192984.02698622437</v>
          </cell>
        </row>
        <row r="143">
          <cell r="A143" t="str">
            <v>ResFKreditförlQ</v>
          </cell>
          <cell r="C143" t="str">
            <v>Resultat före kreditförluster</v>
          </cell>
          <cell r="E143">
            <v>76030.267349499045</v>
          </cell>
          <cell r="F143">
            <v>66986.751736646882</v>
          </cell>
          <cell r="G143">
            <v>71179.38850485794</v>
          </cell>
          <cell r="H143">
            <v>81132.328313755366</v>
          </cell>
          <cell r="I143">
            <v>115014</v>
          </cell>
          <cell r="J143">
            <v>121202</v>
          </cell>
          <cell r="K143">
            <v>108368</v>
          </cell>
          <cell r="L143">
            <v>140258.23771125398</v>
          </cell>
          <cell r="M143">
            <v>114637.67045581318</v>
          </cell>
          <cell r="N143">
            <v>111396.71178668705</v>
          </cell>
          <cell r="O143">
            <v>122347.78129303113</v>
          </cell>
          <cell r="P143">
            <v>116998.99418331234</v>
          </cell>
          <cell r="Q143">
            <v>120390.98380090257</v>
          </cell>
          <cell r="R143">
            <v>103044.53249001723</v>
          </cell>
          <cell r="S143">
            <v>103695.41816502906</v>
          </cell>
          <cell r="T143">
            <v>113530.06836813613</v>
          </cell>
          <cell r="U143">
            <v>119155.63107058458</v>
          </cell>
          <cell r="V143">
            <v>90620.237556327833</v>
          </cell>
          <cell r="W143">
            <v>132529.34732865845</v>
          </cell>
          <cell r="X143">
            <v>77378.021003839734</v>
          </cell>
          <cell r="Y143">
            <v>103410.93350079353</v>
          </cell>
          <cell r="Z143">
            <v>118303.00222837887</v>
          </cell>
          <cell r="AA143">
            <v>164619.5973925459</v>
          </cell>
          <cell r="AB143">
            <v>141594.30760183785</v>
          </cell>
          <cell r="AC143">
            <v>362765.0624248425</v>
          </cell>
          <cell r="AD143">
            <v>340257.14610907529</v>
          </cell>
          <cell r="AE143">
            <v>398211.20650594117</v>
          </cell>
          <cell r="AF143">
            <v>484954.97772161302</v>
          </cell>
          <cell r="AG143">
            <v>754306.81720512209</v>
          </cell>
          <cell r="AH143">
            <v>537209.7634824441</v>
          </cell>
          <cell r="AI143">
            <v>574472.52735725581</v>
          </cell>
        </row>
        <row r="145">
          <cell r="A145" t="str">
            <v>KreditFörlQ</v>
          </cell>
          <cell r="C145" t="str">
            <v>Kreditförluster, netto</v>
          </cell>
          <cell r="E145">
            <v>-114.011</v>
          </cell>
          <cell r="F145">
            <v>-102.29800000000003</v>
          </cell>
          <cell r="G145">
            <v>90.728999999999985</v>
          </cell>
          <cell r="H145">
            <v>516.38300000000004</v>
          </cell>
          <cell r="I145">
            <v>-101</v>
          </cell>
          <cell r="J145">
            <v>-216</v>
          </cell>
          <cell r="K145">
            <v>-46</v>
          </cell>
          <cell r="L145">
            <v>147</v>
          </cell>
          <cell r="M145">
            <v>-131.101</v>
          </cell>
          <cell r="N145">
            <v>-221.64800000000002</v>
          </cell>
          <cell r="O145">
            <v>-169.92499999999995</v>
          </cell>
          <cell r="P145">
            <v>17.678999999999974</v>
          </cell>
          <cell r="Q145">
            <v>214.654</v>
          </cell>
          <cell r="R145">
            <v>68.553999999999974</v>
          </cell>
          <cell r="S145">
            <v>82.156999999999982</v>
          </cell>
          <cell r="T145">
            <v>25.288000000000011</v>
          </cell>
          <cell r="U145">
            <v>351.78980999999999</v>
          </cell>
          <cell r="V145">
            <v>-701.10199999999998</v>
          </cell>
          <cell r="W145">
            <v>-437.52100000000007</v>
          </cell>
          <cell r="X145">
            <v>-374.14310000000091</v>
          </cell>
          <cell r="Y145">
            <v>-1181.4269999999999</v>
          </cell>
          <cell r="Z145">
            <v>1651.8255999999976</v>
          </cell>
          <cell r="AA145">
            <v>-454.36603999999767</v>
          </cell>
          <cell r="AB145">
            <v>313.76824000000062</v>
          </cell>
          <cell r="AC145">
            <v>522.5798299999999</v>
          </cell>
          <cell r="AD145">
            <v>-4967.4577799999997</v>
          </cell>
          <cell r="AE145">
            <v>-410.79547000000002</v>
          </cell>
          <cell r="AF145">
            <v>984.23379000000023</v>
          </cell>
          <cell r="AG145">
            <v>1434.9887600000015</v>
          </cell>
          <cell r="AH145">
            <v>-859.3332000000014</v>
          </cell>
          <cell r="AI145">
            <v>-522.4039700000003</v>
          </cell>
        </row>
        <row r="146">
          <cell r="A146" t="str">
            <v>AndIntressebolQ</v>
          </cell>
          <cell r="C146" t="str">
            <v>Andelar i ägarintressens resultat</v>
          </cell>
          <cell r="E146">
            <v>0</v>
          </cell>
          <cell r="F146">
            <v>0</v>
          </cell>
          <cell r="G146">
            <v>0</v>
          </cell>
          <cell r="H146">
            <v>0</v>
          </cell>
          <cell r="I146">
            <v>0</v>
          </cell>
          <cell r="J146">
            <v>0</v>
          </cell>
          <cell r="K146">
            <v>0</v>
          </cell>
          <cell r="L146">
            <v>0</v>
          </cell>
          <cell r="M146">
            <v>0</v>
          </cell>
          <cell r="N146">
            <v>0</v>
          </cell>
          <cell r="O146">
            <v>0</v>
          </cell>
          <cell r="P146">
            <v>0</v>
          </cell>
          <cell r="Q146">
            <v>0</v>
          </cell>
          <cell r="R146">
            <v>0</v>
          </cell>
          <cell r="S146">
            <v>0</v>
          </cell>
          <cell r="T146">
            <v>0</v>
          </cell>
          <cell r="U146">
            <v>0</v>
          </cell>
          <cell r="V146">
            <v>0</v>
          </cell>
          <cell r="W146">
            <v>0</v>
          </cell>
          <cell r="X146">
            <v>-655.20000000000005</v>
          </cell>
          <cell r="Y146">
            <v>-2265.2460000000001</v>
          </cell>
          <cell r="Z146">
            <v>-2494.5929999999998</v>
          </cell>
          <cell r="AA146">
            <v>-1640.7729999999992</v>
          </cell>
          <cell r="AB146">
            <v>-1841.3350000000009</v>
          </cell>
          <cell r="AC146">
            <v>-2393.0970000000002</v>
          </cell>
          <cell r="AD146">
            <v>-2095.2369999999996</v>
          </cell>
          <cell r="AE146">
            <v>-1339.9170000000004</v>
          </cell>
          <cell r="AF146">
            <v>0</v>
          </cell>
          <cell r="AG146">
            <v>0</v>
          </cell>
          <cell r="AH146">
            <v>0</v>
          </cell>
          <cell r="AI146">
            <v>0</v>
          </cell>
        </row>
        <row r="147">
          <cell r="A147" t="str">
            <v>RörelseresQ</v>
          </cell>
          <cell r="C147" t="str">
            <v>Rörelseresultat</v>
          </cell>
          <cell r="E147">
            <v>75916.256349499046</v>
          </cell>
          <cell r="F147">
            <v>66884.453736646887</v>
          </cell>
          <cell r="G147">
            <v>71270.117504857946</v>
          </cell>
          <cell r="H147">
            <v>81648.711313755368</v>
          </cell>
          <cell r="I147">
            <v>114913</v>
          </cell>
          <cell r="J147">
            <v>120986</v>
          </cell>
          <cell r="K147">
            <v>108322</v>
          </cell>
          <cell r="L147">
            <v>140405.23771125398</v>
          </cell>
          <cell r="M147">
            <v>114506.56945581318</v>
          </cell>
          <cell r="N147">
            <v>111175.06378668705</v>
          </cell>
          <cell r="O147">
            <v>122177.85629303113</v>
          </cell>
          <cell r="P147">
            <v>117016.67318331235</v>
          </cell>
          <cell r="Q147">
            <v>120605.63780090256</v>
          </cell>
          <cell r="R147">
            <v>103113.08649001723</v>
          </cell>
          <cell r="S147">
            <v>103777.57516502906</v>
          </cell>
          <cell r="T147">
            <v>113555.35636813613</v>
          </cell>
          <cell r="U147">
            <v>119507.42088058458</v>
          </cell>
          <cell r="V147">
            <v>89919.135556327834</v>
          </cell>
          <cell r="W147">
            <v>132091.82632865844</v>
          </cell>
          <cell r="X147">
            <v>76348.677903839736</v>
          </cell>
          <cell r="Y147">
            <v>99964.260500793534</v>
          </cell>
          <cell r="Z147">
            <v>117460.23482837887</v>
          </cell>
          <cell r="AA147">
            <v>162524.45835254592</v>
          </cell>
          <cell r="AB147">
            <v>140066.74084183786</v>
          </cell>
          <cell r="AC147">
            <v>360894.54525484249</v>
          </cell>
          <cell r="AD147">
            <v>333194.45132907527</v>
          </cell>
          <cell r="AE147">
            <v>396460.49403594114</v>
          </cell>
          <cell r="AF147">
            <v>485939.21151161304</v>
          </cell>
          <cell r="AG147">
            <v>755741.80596512207</v>
          </cell>
          <cell r="AH147">
            <v>536350.43028244411</v>
          </cell>
          <cell r="AI147">
            <v>573950.12338725582</v>
          </cell>
        </row>
        <row r="148">
          <cell r="A148" t="str">
            <v>DeltaRörresQ</v>
          </cell>
          <cell r="C148" t="str">
            <v>Förändring rörelseresultat (år mot år) - kvartal</v>
          </cell>
          <cell r="I148">
            <v>0.5136810681360513</v>
          </cell>
          <cell r="J148">
            <v>0.80888073746366196</v>
          </cell>
          <cell r="K148">
            <v>0.51987963247873847</v>
          </cell>
          <cell r="L148">
            <v>0.71962588817491713</v>
          </cell>
          <cell r="M148">
            <v>-3.5368543523084384E-3</v>
          </cell>
          <cell r="N148">
            <v>-8.1091499952994139E-2</v>
          </cell>
          <cell r="O148">
            <v>0.12791359366547073</v>
          </cell>
          <cell r="P148">
            <v>-0.16657900309987483</v>
          </cell>
          <cell r="Q148">
            <v>5.3263916420471791E-2</v>
          </cell>
          <cell r="R148">
            <v>-7.2516057307045356E-2</v>
          </cell>
          <cell r="S148">
            <v>-0.15060242245428557</v>
          </cell>
          <cell r="T148">
            <v>-2.9579689124761721E-2</v>
          </cell>
          <cell r="U148">
            <v>-9.1058506081691526E-3</v>
          </cell>
          <cell r="V148">
            <v>-0.12795612451157456</v>
          </cell>
          <cell r="W148">
            <v>0.2728359293286966</v>
          </cell>
          <cell r="X148">
            <v>-0.32765234203198412</v>
          </cell>
          <cell r="Y148">
            <v>-0.16353093586815137</v>
          </cell>
          <cell r="Z148">
            <v>0.30628741147982375</v>
          </cell>
          <cell r="AA148">
            <v>0.23038997089924296</v>
          </cell>
          <cell r="AB148">
            <v>0.83456668389530297</v>
          </cell>
          <cell r="AC148">
            <v>2.6102357327194716</v>
          </cell>
          <cell r="AD148">
            <v>1.8366574595726428</v>
          </cell>
          <cell r="AE148">
            <v>1.4393897266585207</v>
          </cell>
          <cell r="AF148">
            <v>2.4693404629178266</v>
          </cell>
          <cell r="AG148">
            <v>1.0940793256696679</v>
          </cell>
          <cell r="AH148">
            <v>0.60972197508992854</v>
          </cell>
          <cell r="AI148">
            <v>0.44768553745288009</v>
          </cell>
        </row>
        <row r="150">
          <cell r="A150" t="str">
            <v>SkattQ</v>
          </cell>
          <cell r="C150" t="str">
            <v>Skatt på periodens resultat</v>
          </cell>
          <cell r="E150">
            <v>-10738.354000000001</v>
          </cell>
          <cell r="F150">
            <v>-11426.116</v>
          </cell>
          <cell r="G150">
            <v>-10568.358999999993</v>
          </cell>
          <cell r="H150">
            <v>-13427.356880000018</v>
          </cell>
          <cell r="I150">
            <v>-15848</v>
          </cell>
          <cell r="J150">
            <v>-16985</v>
          </cell>
          <cell r="K150">
            <v>-14722</v>
          </cell>
          <cell r="L150">
            <v>-22096</v>
          </cell>
          <cell r="M150">
            <v>-16270.383999999998</v>
          </cell>
          <cell r="N150">
            <v>-17035.311000000002</v>
          </cell>
          <cell r="O150">
            <v>-16717.25</v>
          </cell>
          <cell r="P150">
            <v>-15935.392999999989</v>
          </cell>
          <cell r="Q150">
            <v>-17394.672999999999</v>
          </cell>
          <cell r="R150">
            <v>-14563.000259999997</v>
          </cell>
          <cell r="S150">
            <v>-15048.009740000001</v>
          </cell>
          <cell r="T150">
            <v>-15504.088000000003</v>
          </cell>
          <cell r="U150">
            <v>-15879.55301</v>
          </cell>
          <cell r="V150">
            <v>-10694.403990000003</v>
          </cell>
          <cell r="W150">
            <v>-25759.319170000002</v>
          </cell>
          <cell r="X150">
            <v>-16463.508829999984</v>
          </cell>
          <cell r="Y150">
            <v>-12955.755999999999</v>
          </cell>
          <cell r="Z150">
            <v>-16359.749030000004</v>
          </cell>
          <cell r="AA150">
            <v>-24768.295119999999</v>
          </cell>
          <cell r="AB150">
            <v>-18999.080000000024</v>
          </cell>
          <cell r="AC150">
            <v>-56157.469949999999</v>
          </cell>
          <cell r="AD150">
            <v>-52472.770050000006</v>
          </cell>
          <cell r="AE150">
            <v>-65333.90376999999</v>
          </cell>
          <cell r="AF150">
            <v>-67920.333110000007</v>
          </cell>
          <cell r="AG150">
            <v>-124055.72120999999</v>
          </cell>
          <cell r="AH150">
            <v>-85719.23907000004</v>
          </cell>
          <cell r="AI150">
            <v>-92891.953829999984</v>
          </cell>
        </row>
        <row r="151">
          <cell r="A151" t="str">
            <v>PeriodensResQ</v>
          </cell>
          <cell r="C151" t="str">
            <v>Periodens resultat</v>
          </cell>
          <cell r="E151">
            <v>65177.902349499047</v>
          </cell>
          <cell r="F151">
            <v>55458.337736646885</v>
          </cell>
          <cell r="G151">
            <v>60701.758504857949</v>
          </cell>
          <cell r="H151">
            <v>68221.354433755347</v>
          </cell>
          <cell r="I151">
            <v>99065</v>
          </cell>
          <cell r="J151">
            <v>104001</v>
          </cell>
          <cell r="K151">
            <v>93600</v>
          </cell>
          <cell r="L151">
            <v>118309.23771125398</v>
          </cell>
          <cell r="M151">
            <v>98236.185455813189</v>
          </cell>
          <cell r="N151">
            <v>94139.752786687051</v>
          </cell>
          <cell r="O151">
            <v>105460.60629303113</v>
          </cell>
          <cell r="P151">
            <v>101081.28018331237</v>
          </cell>
          <cell r="Q151">
            <v>103210.96480090257</v>
          </cell>
          <cell r="R151">
            <v>88550.08623001723</v>
          </cell>
          <cell r="S151">
            <v>88729.565425029054</v>
          </cell>
          <cell r="T151">
            <v>98051.268368136123</v>
          </cell>
          <cell r="U151">
            <v>103627.86787058458</v>
          </cell>
          <cell r="V151">
            <v>79224.731566327828</v>
          </cell>
          <cell r="W151">
            <v>106332.50715865844</v>
          </cell>
          <cell r="X151">
            <v>59885.169073839752</v>
          </cell>
          <cell r="Y151">
            <v>87008.504500793541</v>
          </cell>
          <cell r="Z151">
            <v>101100.48579837887</v>
          </cell>
          <cell r="AA151">
            <v>137756.16323254592</v>
          </cell>
          <cell r="AB151">
            <v>121067.66084183785</v>
          </cell>
          <cell r="AC151">
            <v>304737.0753048425</v>
          </cell>
          <cell r="AD151">
            <v>280721.68127907527</v>
          </cell>
          <cell r="AE151">
            <v>331126.59026594117</v>
          </cell>
          <cell r="AF151">
            <v>418018.87840161304</v>
          </cell>
          <cell r="AG151">
            <v>631686.08475512208</v>
          </cell>
          <cell r="AH151">
            <v>450631.1912124441</v>
          </cell>
          <cell r="AI151">
            <v>481058.16955725581</v>
          </cell>
        </row>
        <row r="152">
          <cell r="A152" t="str">
            <v>DeltaPerresQ</v>
          </cell>
          <cell r="C152" t="str">
            <v>Förändring periodens resultat (år mot år) - kvartal</v>
          </cell>
          <cell r="I152">
            <v>0.51991697230129419</v>
          </cell>
          <cell r="J152">
            <v>0.87529962570941078</v>
          </cell>
          <cell r="K152">
            <v>0.5419652132896482</v>
          </cell>
          <cell r="L152">
            <v>0.73419655316481935</v>
          </cell>
          <cell r="M152">
            <v>-8.3663710108192735E-3</v>
          </cell>
          <cell r="N152">
            <v>-9.481877302442232E-2</v>
          </cell>
          <cell r="O152">
            <v>0.12671587919905059</v>
          </cell>
          <cell r="P152">
            <v>-0.14561802494229781</v>
          </cell>
          <cell r="Q152">
            <v>5.0641006895845386E-2</v>
          </cell>
          <cell r="R152">
            <v>-5.937626126271589E-2</v>
          </cell>
          <cell r="S152">
            <v>-0.15864730401334393</v>
          </cell>
          <cell r="T152">
            <v>-2.9975993672431422E-2</v>
          </cell>
          <cell r="U152">
            <v>4.0393292562106442E-3</v>
          </cell>
          <cell r="V152">
            <v>-0.10531163842648228</v>
          </cell>
          <cell r="W152">
            <v>0.19838868419233679</v>
          </cell>
          <cell r="X152">
            <v>-0.38924635988389999</v>
          </cell>
          <cell r="Y152">
            <v>-0.16037542517564962</v>
          </cell>
          <cell r="Z152">
            <v>0.27612279397546979</v>
          </cell>
          <cell r="AA152">
            <v>0.29552257266914927</v>
          </cell>
          <cell r="AB152">
            <v>1.0216635055761256</v>
          </cell>
          <cell r="AC152">
            <v>2.5023826355050525</v>
          </cell>
          <cell r="AD152">
            <v>1.7766600631267848</v>
          </cell>
          <cell r="AE152">
            <v>1.4037152494365497</v>
          </cell>
          <cell r="AF152">
            <v>2.4527707522796751</v>
          </cell>
          <cell r="AG152">
            <v>1.072888847289807</v>
          </cell>
          <cell r="AH152">
            <v>0.60525966202252768</v>
          </cell>
          <cell r="AI152">
            <v>0.45279232685873549</v>
          </cell>
        </row>
        <row r="154">
          <cell r="A154" t="str">
            <v>RPAQ</v>
          </cell>
          <cell r="C154" t="str">
            <v>Resultat per aktie, SEK</v>
          </cell>
          <cell r="E154">
            <v>0.45146826526878586</v>
          </cell>
          <cell r="F154">
            <v>0.38414368413387345</v>
          </cell>
          <cell r="G154">
            <v>0.4204633261132194</v>
          </cell>
          <cell r="H154">
            <v>0.47254936765744571</v>
          </cell>
          <cell r="I154">
            <v>0.68619427883745054</v>
          </cell>
          <cell r="J154">
            <v>0.71434037835347619</v>
          </cell>
          <cell r="K154">
            <v>0.63794792327503924</v>
          </cell>
          <cell r="L154">
            <v>0.80635825322807086</v>
          </cell>
          <cell r="M154">
            <v>0.66954669339741069</v>
          </cell>
          <cell r="N154">
            <v>0.6357634455406993</v>
          </cell>
          <cell r="O154">
            <v>0.70686606099932914</v>
          </cell>
          <cell r="P154">
            <v>0.67751294891492642</v>
          </cell>
          <cell r="Q154">
            <v>0.69178749018414654</v>
          </cell>
          <cell r="R154">
            <v>0.59352067899783534</v>
          </cell>
          <cell r="S154">
            <v>0.59384144027382713</v>
          </cell>
          <cell r="T154">
            <v>0.65375745230940163</v>
          </cell>
          <cell r="U154">
            <v>0.69093946478049517</v>
          </cell>
          <cell r="V154">
            <v>0.52823139904970584</v>
          </cell>
          <cell r="W154">
            <v>0.70706052931396945</v>
          </cell>
          <cell r="X154">
            <v>0.39563424164453198</v>
          </cell>
          <cell r="Y154">
            <v>0.57482585800753616</v>
          </cell>
          <cell r="Z154">
            <v>0.66792520831687008</v>
          </cell>
          <cell r="AA154">
            <v>0.90678165557309842</v>
          </cell>
          <cell r="AB154">
            <v>0.78724596093687604</v>
          </cell>
          <cell r="AC154">
            <v>1.9815616326713534</v>
          </cell>
          <cell r="AD154">
            <v>1.8254008394782681</v>
          </cell>
          <cell r="AE154">
            <v>2.1492578096018318</v>
          </cell>
          <cell r="AF154">
            <v>2.6976964223230691</v>
          </cell>
          <cell r="AG154">
            <v>4.0766036629521372</v>
          </cell>
          <cell r="AH154">
            <v>2.908160887300975</v>
          </cell>
          <cell r="AI154">
            <v>3.1012968973076127</v>
          </cell>
        </row>
        <row r="155">
          <cell r="A155" t="str">
            <v>DeltaRPAQ</v>
          </cell>
          <cell r="C155" t="str">
            <v>Förändring resultat per aktie (år mot år) - kvartal</v>
          </cell>
          <cell r="I155">
            <v>0.51991697230129419</v>
          </cell>
          <cell r="J155">
            <v>0.85956559448346859</v>
          </cell>
          <cell r="K155">
            <v>0.51724986141420848</v>
          </cell>
          <cell r="L155">
            <v>0.70640002593888873</v>
          </cell>
          <cell r="M155">
            <v>-2.4260746487487772E-2</v>
          </cell>
          <cell r="N155">
            <v>-0.10999928772596246</v>
          </cell>
          <cell r="O155">
            <v>0.10803097746675649</v>
          </cell>
          <cell r="P155">
            <v>-0.15978667521209311</v>
          </cell>
          <cell r="Q155">
            <v>3.3217693412660676E-2</v>
          </cell>
          <cell r="R155">
            <v>-6.6444157554446437E-2</v>
          </cell>
          <cell r="S155">
            <v>-0.15989538465846542</v>
          </cell>
          <cell r="T155">
            <v>-3.5062793476597798E-2</v>
          </cell>
          <cell r="U155">
            <v>-1.2258466880133989E-3</v>
          </cell>
          <cell r="V155">
            <v>-0.11000337858214304</v>
          </cell>
          <cell r="W155">
            <v>0.19065541971596955</v>
          </cell>
          <cell r="X155">
            <v>-0.39483023826810393</v>
          </cell>
          <cell r="Y155">
            <v>-0.1680517797747263</v>
          </cell>
          <cell r="Z155">
            <v>0.26445570921848827</v>
          </cell>
          <cell r="AA155">
            <v>0.28246680160878146</v>
          </cell>
          <cell r="AB155">
            <v>0.98983272444905812</v>
          </cell>
          <cell r="AC155">
            <v>2.4472381592920174</v>
          </cell>
          <cell r="AD155">
            <v>1.7329419772584487</v>
          </cell>
          <cell r="AE155">
            <v>1.3702043335266541</v>
          </cell>
          <cell r="AF155">
            <v>2.4267516839497372</v>
          </cell>
          <cell r="AG155">
            <v>1.0572681645316511</v>
          </cell>
          <cell r="AH155">
            <v>0.59316289573537118</v>
          </cell>
          <cell r="AI155">
            <v>0.44296179055510998</v>
          </cell>
        </row>
        <row r="156">
          <cell r="A156" t="str">
            <v>RPAeUtspQ</v>
          </cell>
          <cell r="C156" t="str">
            <v>Resultat per aktie efter utspädning, SEK</v>
          </cell>
          <cell r="E156">
            <v>0.44755324103428418</v>
          </cell>
          <cell r="F156">
            <v>0.38038094148272628</v>
          </cell>
          <cell r="G156">
            <v>0.41635249916587197</v>
          </cell>
          <cell r="H156">
            <v>0.46866607312908232</v>
          </cell>
          <cell r="I156">
            <v>0.67755667037044409</v>
          </cell>
          <cell r="J156">
            <v>0.70719830205454792</v>
          </cell>
          <cell r="K156">
            <v>0.63171368692837848</v>
          </cell>
          <cell r="L156">
            <v>0.79774476131554228</v>
          </cell>
          <cell r="M156">
            <v>0.66347853452009875</v>
          </cell>
          <cell r="N156">
            <v>0.63561044037935011</v>
          </cell>
          <cell r="O156">
            <v>0.70686606099932914</v>
          </cell>
          <cell r="P156">
            <v>0.67631168707663658</v>
          </cell>
          <cell r="Q156">
            <v>0.68981021098872197</v>
          </cell>
          <cell r="R156">
            <v>0.59238670759692225</v>
          </cell>
          <cell r="S156">
            <v>0.59384144027382713</v>
          </cell>
          <cell r="T156">
            <v>0.65375745230940163</v>
          </cell>
          <cell r="U156">
            <v>0.68808238128851851</v>
          </cell>
          <cell r="V156">
            <v>0.52606856025730964</v>
          </cell>
          <cell r="W156">
            <v>0.70605733574138874</v>
          </cell>
          <cell r="X156">
            <v>0.39384422052568829</v>
          </cell>
          <cell r="Y156">
            <v>0.57427885627714614</v>
          </cell>
          <cell r="Z156">
            <v>0.66792520831687008</v>
          </cell>
          <cell r="AA156">
            <v>0.90678165557309842</v>
          </cell>
          <cell r="AB156">
            <v>0.78724596093687604</v>
          </cell>
          <cell r="AC156">
            <v>1.9789160748600219</v>
          </cell>
          <cell r="AD156">
            <v>1.8069226552551134</v>
          </cell>
          <cell r="AE156">
            <v>2.12412807536364</v>
          </cell>
          <cell r="AF156">
            <v>2.6603386399710081</v>
          </cell>
          <cell r="AG156">
            <v>3.9896344079066122</v>
          </cell>
          <cell r="AH156">
            <v>2.8410434901175696</v>
          </cell>
          <cell r="AI156">
            <v>3.0547260152702638</v>
          </cell>
        </row>
        <row r="157">
          <cell r="A157" t="str">
            <v>SnittAntAktQ</v>
          </cell>
          <cell r="C157" t="str">
            <v>Genomsnittligt antal aktier före utspädning</v>
          </cell>
          <cell r="E157">
            <v>144368735</v>
          </cell>
          <cell r="F157">
            <v>144368735</v>
          </cell>
          <cell r="G157">
            <v>144368735</v>
          </cell>
          <cell r="H157">
            <v>144368735</v>
          </cell>
          <cell r="I157">
            <v>144368735</v>
          </cell>
          <cell r="J157">
            <v>145590258.02197802</v>
          </cell>
          <cell r="K157">
            <v>146720440</v>
          </cell>
          <cell r="L157">
            <v>146720440</v>
          </cell>
          <cell r="M157">
            <v>146720440</v>
          </cell>
          <cell r="N157">
            <v>148073553.84615386</v>
          </cell>
          <cell r="O157">
            <v>149194610</v>
          </cell>
          <cell r="P157">
            <v>149194610</v>
          </cell>
          <cell r="Q157">
            <v>149194610</v>
          </cell>
          <cell r="R157">
            <v>149194610</v>
          </cell>
          <cell r="S157">
            <v>149416257.28260869</v>
          </cell>
          <cell r="T157">
            <v>149981110</v>
          </cell>
          <cell r="U157">
            <v>149981110</v>
          </cell>
          <cell r="V157">
            <v>149981110</v>
          </cell>
          <cell r="W157">
            <v>150386710.54347825</v>
          </cell>
          <cell r="X157">
            <v>151364980</v>
          </cell>
          <cell r="Y157">
            <v>151364980</v>
          </cell>
          <cell r="Z157">
            <v>151364980</v>
          </cell>
          <cell r="AA157">
            <v>151917677.63043478</v>
          </cell>
          <cell r="AB157">
            <v>153786322</v>
          </cell>
          <cell r="AC157">
            <v>153786322</v>
          </cell>
          <cell r="AD157">
            <v>153786322</v>
          </cell>
          <cell r="AE157">
            <v>154065551.73913044</v>
          </cell>
          <cell r="AF157">
            <v>154954010</v>
          </cell>
          <cell r="AG157">
            <v>154954010</v>
          </cell>
          <cell r="AH157">
            <v>154954010</v>
          </cell>
          <cell r="AI157">
            <v>155115161.65217394</v>
          </cell>
        </row>
        <row r="158">
          <cell r="A158" t="str">
            <v>SnittAntAktEUtspQ</v>
          </cell>
          <cell r="C158" t="str">
            <v>Genomsnittligt antal aktier efter utspädning</v>
          </cell>
          <cell r="E158">
            <v>145631617.36662787</v>
          </cell>
          <cell r="F158">
            <v>145796835.98360655</v>
          </cell>
          <cell r="G158">
            <v>145794149.4922426</v>
          </cell>
          <cell r="H158">
            <v>145564951.98867422</v>
          </cell>
          <cell r="I158">
            <v>146209172.35725489</v>
          </cell>
          <cell r="J158">
            <v>147060590.64035782</v>
          </cell>
          <cell r="K158">
            <v>148168390.10583609</v>
          </cell>
          <cell r="L158">
            <v>148304625.04843402</v>
          </cell>
          <cell r="M158">
            <v>148062341.65038735</v>
          </cell>
          <cell r="N158">
            <v>148109198.34875873</v>
          </cell>
          <cell r="O158">
            <v>149194610</v>
          </cell>
          <cell r="P158">
            <v>149459608.80882767</v>
          </cell>
          <cell r="Q158">
            <v>149622262.98878318</v>
          </cell>
          <cell r="R158">
            <v>149480204.55966979</v>
          </cell>
          <cell r="S158">
            <v>149416257.28260869</v>
          </cell>
          <cell r="T158">
            <v>149981110</v>
          </cell>
          <cell r="U158">
            <v>150603867.63068792</v>
          </cell>
          <cell r="V158">
            <v>150597731.07820314</v>
          </cell>
          <cell r="W158">
            <v>150600385.79870433</v>
          </cell>
          <cell r="X158">
            <v>152052933.50225455</v>
          </cell>
          <cell r="Y158">
            <v>151509155.43859649</v>
          </cell>
          <cell r="Z158">
            <v>151364980</v>
          </cell>
          <cell r="AA158">
            <v>151917677.63043478</v>
          </cell>
          <cell r="AB158">
            <v>153786322</v>
          </cell>
          <cell r="AC158">
            <v>153991914.65277171</v>
          </cell>
          <cell r="AD158">
            <v>155358991.41152841</v>
          </cell>
          <cell r="AE158">
            <v>155888241.44196388</v>
          </cell>
          <cell r="AF158">
            <v>157129950.34578326</v>
          </cell>
          <cell r="AG158">
            <v>158331821.95923862</v>
          </cell>
          <cell r="AH158">
            <v>158614675.48101345</v>
          </cell>
          <cell r="AI158">
            <v>157479972.72177443</v>
          </cell>
        </row>
        <row r="159">
          <cell r="A159" t="str">
            <v>UtestAntAktQ</v>
          </cell>
          <cell r="C159" t="str">
            <v>Utestående antal aktier före utspädning</v>
          </cell>
          <cell r="E159">
            <v>144368735</v>
          </cell>
          <cell r="F159">
            <v>144368735</v>
          </cell>
          <cell r="G159">
            <v>144368735</v>
          </cell>
          <cell r="H159">
            <v>144368735</v>
          </cell>
          <cell r="I159">
            <v>144368735</v>
          </cell>
          <cell r="J159">
            <v>146720440</v>
          </cell>
          <cell r="K159">
            <v>146720440</v>
          </cell>
          <cell r="L159">
            <v>146720440</v>
          </cell>
          <cell r="M159">
            <v>146720440</v>
          </cell>
          <cell r="N159">
            <v>149194610</v>
          </cell>
          <cell r="O159">
            <v>149194610</v>
          </cell>
          <cell r="P159">
            <v>149194610</v>
          </cell>
          <cell r="Q159">
            <v>149194610</v>
          </cell>
          <cell r="R159">
            <v>149194610</v>
          </cell>
          <cell r="S159">
            <v>149981110</v>
          </cell>
          <cell r="T159">
            <v>149981110</v>
          </cell>
          <cell r="U159">
            <v>149981110</v>
          </cell>
          <cell r="V159">
            <v>149981110</v>
          </cell>
          <cell r="W159">
            <v>151364980</v>
          </cell>
          <cell r="X159">
            <v>151364980</v>
          </cell>
          <cell r="Y159">
            <v>151364980</v>
          </cell>
          <cell r="Z159">
            <v>151364980</v>
          </cell>
          <cell r="AA159">
            <v>153786322</v>
          </cell>
          <cell r="AB159">
            <v>153786322</v>
          </cell>
          <cell r="AC159">
            <v>153786322</v>
          </cell>
          <cell r="AD159">
            <v>153786322</v>
          </cell>
          <cell r="AE159">
            <v>154954010</v>
          </cell>
          <cell r="AF159">
            <v>154954010</v>
          </cell>
          <cell r="AG159">
            <v>154954010</v>
          </cell>
          <cell r="AH159">
            <v>154954010</v>
          </cell>
          <cell r="AI159">
            <v>155571758</v>
          </cell>
        </row>
        <row r="160">
          <cell r="A160" t="str">
            <v>UtestAntAktEUtspQ</v>
          </cell>
          <cell r="C160" t="str">
            <v>Utestående antal aktier efter utspädning</v>
          </cell>
          <cell r="E160">
            <v>145717664.57746479</v>
          </cell>
          <cell r="F160">
            <v>146117160</v>
          </cell>
          <cell r="G160">
            <v>145644747.32032853</v>
          </cell>
          <cell r="H160">
            <v>145848421.04651162</v>
          </cell>
          <cell r="I160">
            <v>146332159.29284525</v>
          </cell>
          <cell r="J160">
            <v>147788526.23548922</v>
          </cell>
          <cell r="K160">
            <v>148148215.83697233</v>
          </cell>
          <cell r="L160">
            <v>148374973.33333331</v>
          </cell>
          <cell r="M160">
            <v>148325663.75690609</v>
          </cell>
          <cell r="N160">
            <v>149241941.26934984</v>
          </cell>
          <cell r="O160">
            <v>149355341.56342182</v>
          </cell>
          <cell r="P160">
            <v>149541460.94850948</v>
          </cell>
          <cell r="Q160">
            <v>149341071.85811815</v>
          </cell>
          <cell r="R160">
            <v>149535172.65289482</v>
          </cell>
          <cell r="S160">
            <v>149981110</v>
          </cell>
          <cell r="T160">
            <v>149981110</v>
          </cell>
          <cell r="U160">
            <v>150651015.72467062</v>
          </cell>
          <cell r="V160">
            <v>150929941.52173913</v>
          </cell>
          <cell r="W160">
            <v>151542193.43873519</v>
          </cell>
          <cell r="X160">
            <v>151643063.09726155</v>
          </cell>
          <cell r="Y160">
            <v>151509155.43859649</v>
          </cell>
          <cell r="Z160">
            <v>151364980</v>
          </cell>
          <cell r="AA160">
            <v>153786322</v>
          </cell>
          <cell r="AB160">
            <v>154125294.39263803</v>
          </cell>
          <cell r="AC160">
            <v>153786322</v>
          </cell>
          <cell r="AD160">
            <v>155745063.49659866</v>
          </cell>
          <cell r="AE160">
            <v>156949829.11262798</v>
          </cell>
          <cell r="AF160">
            <v>157940329.74248925</v>
          </cell>
          <cell r="AG160">
            <v>158472847.50921151</v>
          </cell>
          <cell r="AH160">
            <v>158418369.31060323</v>
          </cell>
          <cell r="AI160">
            <v>157972266.72093025</v>
          </cell>
        </row>
        <row r="161">
          <cell r="A161" t="str">
            <v>AntAktFullUtspQ</v>
          </cell>
          <cell r="C161" t="str">
            <v>Antal aktier vid full utspädning</v>
          </cell>
          <cell r="E161">
            <v>151718735</v>
          </cell>
          <cell r="F161">
            <v>149268735</v>
          </cell>
          <cell r="G161">
            <v>151718735</v>
          </cell>
          <cell r="H161">
            <v>151718735</v>
          </cell>
          <cell r="I161">
            <v>151718735</v>
          </cell>
          <cell r="J161">
            <v>151620440</v>
          </cell>
          <cell r="K161">
            <v>154070440</v>
          </cell>
          <cell r="L161">
            <v>154070440</v>
          </cell>
          <cell r="M161">
            <v>154070440</v>
          </cell>
          <cell r="N161">
            <v>154094610</v>
          </cell>
          <cell r="O161">
            <v>156544610</v>
          </cell>
          <cell r="P161">
            <v>156544610</v>
          </cell>
          <cell r="Q161">
            <v>156544610</v>
          </cell>
          <cell r="R161">
            <v>156544610</v>
          </cell>
          <cell r="S161">
            <v>157131110</v>
          </cell>
          <cell r="T161">
            <v>157131110</v>
          </cell>
          <cell r="U161">
            <v>157131110</v>
          </cell>
          <cell r="V161">
            <v>157131110</v>
          </cell>
          <cell r="W161">
            <v>158314980</v>
          </cell>
          <cell r="X161">
            <v>158314980</v>
          </cell>
          <cell r="Y161">
            <v>158314980</v>
          </cell>
          <cell r="Z161">
            <v>158314980</v>
          </cell>
          <cell r="AA161">
            <v>160536322</v>
          </cell>
          <cell r="AB161">
            <v>160536322</v>
          </cell>
          <cell r="AC161">
            <v>160536322</v>
          </cell>
          <cell r="AD161">
            <v>160536322</v>
          </cell>
          <cell r="AE161">
            <v>161704010</v>
          </cell>
          <cell r="AF161">
            <v>161704010</v>
          </cell>
          <cell r="AG161">
            <v>161704010</v>
          </cell>
          <cell r="AH161">
            <v>161704010</v>
          </cell>
          <cell r="AI161">
            <v>161271758</v>
          </cell>
        </row>
        <row r="163">
          <cell r="C163" t="str">
            <v>Övrigt totalresultat</v>
          </cell>
        </row>
        <row r="164">
          <cell r="A164" t="str">
            <v>VärdeförändrFinTillgQ</v>
          </cell>
          <cell r="C164" t="str">
            <v>Värdeförändringar av finansiella tillgångar som kan säljas</v>
          </cell>
          <cell r="E164">
            <v>0</v>
          </cell>
          <cell r="F164">
            <v>0</v>
          </cell>
          <cell r="G164">
            <v>0</v>
          </cell>
          <cell r="H164">
            <v>0</v>
          </cell>
          <cell r="I164">
            <v>0</v>
          </cell>
          <cell r="J164">
            <v>0</v>
          </cell>
          <cell r="K164">
            <v>0</v>
          </cell>
          <cell r="L164">
            <v>0</v>
          </cell>
          <cell r="M164">
            <v>0</v>
          </cell>
          <cell r="N164">
            <v>0</v>
          </cell>
          <cell r="O164">
            <v>0</v>
          </cell>
          <cell r="P164">
            <v>0</v>
          </cell>
          <cell r="Q164">
            <v>0</v>
          </cell>
          <cell r="R164">
            <v>0</v>
          </cell>
          <cell r="S164">
            <v>0</v>
          </cell>
          <cell r="T164">
            <v>0</v>
          </cell>
          <cell r="U164">
            <v>2810.4724700000002</v>
          </cell>
          <cell r="V164">
            <v>-5489.7659999999996</v>
          </cell>
          <cell r="W164">
            <v>-6073.9270000000006</v>
          </cell>
          <cell r="X164">
            <v>-30142.779470000001</v>
          </cell>
          <cell r="Y164">
            <v>41459.2939999999</v>
          </cell>
          <cell r="Z164">
            <v>15278.7060000001</v>
          </cell>
          <cell r="AA164">
            <v>-18397</v>
          </cell>
          <cell r="AB164">
            <v>-19112.826000000001</v>
          </cell>
          <cell r="AC164">
            <v>-74904.971999999994</v>
          </cell>
          <cell r="AD164">
            <v>70236.70299999998</v>
          </cell>
          <cell r="AE164">
            <v>16684.563000000009</v>
          </cell>
          <cell r="AF164">
            <v>6343.2179999999989</v>
          </cell>
          <cell r="AG164">
            <v>-2802.067</v>
          </cell>
          <cell r="AH164">
            <v>-2257.1660000000002</v>
          </cell>
          <cell r="AI164">
            <v>-1089.5460000000003</v>
          </cell>
        </row>
        <row r="165">
          <cell r="A165" t="str">
            <v>SkattVärdeförändrQ</v>
          </cell>
          <cell r="C165" t="str">
            <v>Skatt på värdeförändringar av tillgångar som kan säljas</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-618.30384000000004</v>
          </cell>
          <cell r="V165">
            <v>1207.7484199999999</v>
          </cell>
          <cell r="W165">
            <v>1336.2639399999998</v>
          </cell>
          <cell r="X165">
            <v>6631.2914799999999</v>
          </cell>
          <cell r="Y165">
            <v>-8872.2889200000009</v>
          </cell>
          <cell r="Z165">
            <v>-3269.7110799999991</v>
          </cell>
          <cell r="AA165">
            <v>3937</v>
          </cell>
          <cell r="AB165">
            <v>4090.17076</v>
          </cell>
          <cell r="AC165">
            <v>16029.66401</v>
          </cell>
          <cell r="AD165">
            <v>-15030.65444</v>
          </cell>
          <cell r="AE165">
            <v>-3570.4964900000009</v>
          </cell>
          <cell r="AF165">
            <v>-1357.4486500000003</v>
          </cell>
          <cell r="AG165">
            <v>577.22580000000005</v>
          </cell>
          <cell r="AH165">
            <v>464.97619999999995</v>
          </cell>
          <cell r="AI165">
            <v>224.44647000000009</v>
          </cell>
        </row>
        <row r="166">
          <cell r="A166" t="str">
            <v>VärdeförändrAktInneQ</v>
          </cell>
          <cell r="C166" t="str">
            <v>Värdeförändringar av aktier och innehav</v>
          </cell>
          <cell r="AF166">
            <v>144128.061558785</v>
          </cell>
        </row>
        <row r="167">
          <cell r="A167" t="str">
            <v>SkattförändrAktInneQ</v>
          </cell>
          <cell r="C167" t="str">
            <v>Skatt på värdeförändringar av aktier och innehav</v>
          </cell>
          <cell r="AF167">
            <v>0</v>
          </cell>
        </row>
        <row r="168">
          <cell r="A168" t="str">
            <v>VärdeförändrIntrbolQ</v>
          </cell>
          <cell r="C168" t="str">
            <v>Värdeförändringar av intresseföretag</v>
          </cell>
          <cell r="E168">
            <v>0</v>
          </cell>
          <cell r="F168">
            <v>0</v>
          </cell>
          <cell r="G168">
            <v>0</v>
          </cell>
          <cell r="H168">
            <v>0</v>
          </cell>
          <cell r="I168">
            <v>0</v>
          </cell>
          <cell r="J168">
            <v>0</v>
          </cell>
          <cell r="K168">
            <v>0</v>
          </cell>
          <cell r="L168">
            <v>0</v>
          </cell>
          <cell r="M168">
            <v>0</v>
          </cell>
          <cell r="N168">
            <v>0</v>
          </cell>
          <cell r="O168">
            <v>0</v>
          </cell>
          <cell r="P168">
            <v>0</v>
          </cell>
          <cell r="Q168">
            <v>0</v>
          </cell>
          <cell r="R168">
            <v>0</v>
          </cell>
          <cell r="S168">
            <v>0</v>
          </cell>
          <cell r="T168">
            <v>0</v>
          </cell>
          <cell r="U168">
            <v>0</v>
          </cell>
          <cell r="V168">
            <v>0</v>
          </cell>
          <cell r="W168">
            <v>0</v>
          </cell>
          <cell r="X168">
            <v>39780</v>
          </cell>
          <cell r="Y168">
            <v>0</v>
          </cell>
          <cell r="Z168">
            <v>0</v>
          </cell>
          <cell r="AA168">
            <v>0</v>
          </cell>
          <cell r="AB168">
            <v>0</v>
          </cell>
          <cell r="AC168">
            <v>0</v>
          </cell>
          <cell r="AD168">
            <v>0</v>
          </cell>
          <cell r="AE168">
            <v>0</v>
          </cell>
          <cell r="AF168">
            <v>-9999.8533478260906</v>
          </cell>
          <cell r="AG168">
            <v>0</v>
          </cell>
          <cell r="AH168">
            <v>0</v>
          </cell>
          <cell r="AI168">
            <v>0</v>
          </cell>
        </row>
        <row r="169">
          <cell r="A169" t="str">
            <v>SkattVärdeförändrIntrbolQ</v>
          </cell>
          <cell r="C169" t="str">
            <v>Skatt på värdeförändringar av intresseföretag</v>
          </cell>
          <cell r="E169">
            <v>0</v>
          </cell>
          <cell r="F169">
            <v>0</v>
          </cell>
          <cell r="G169">
            <v>0</v>
          </cell>
          <cell r="H169">
            <v>0</v>
          </cell>
          <cell r="I169">
            <v>0</v>
          </cell>
          <cell r="J169">
            <v>0</v>
          </cell>
          <cell r="K169">
            <v>0</v>
          </cell>
          <cell r="L169">
            <v>0</v>
          </cell>
          <cell r="M169">
            <v>0</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row>
        <row r="170">
          <cell r="A170" t="str">
            <v>ÖvrTotalresQ</v>
          </cell>
          <cell r="C170" t="str">
            <v>Övrigt totalresultat</v>
          </cell>
          <cell r="E170">
            <v>0</v>
          </cell>
          <cell r="F170">
            <v>0</v>
          </cell>
          <cell r="G170">
            <v>0</v>
          </cell>
          <cell r="H170">
            <v>0</v>
          </cell>
          <cell r="I170">
            <v>0</v>
          </cell>
          <cell r="J170">
            <v>0</v>
          </cell>
          <cell r="K170">
            <v>0</v>
          </cell>
          <cell r="L170">
            <v>0</v>
          </cell>
          <cell r="M170">
            <v>0</v>
          </cell>
          <cell r="N170">
            <v>0</v>
          </cell>
          <cell r="O170">
            <v>0</v>
          </cell>
          <cell r="P170">
            <v>0</v>
          </cell>
          <cell r="Q170">
            <v>0</v>
          </cell>
          <cell r="R170">
            <v>0</v>
          </cell>
          <cell r="S170">
            <v>0</v>
          </cell>
          <cell r="T170">
            <v>0</v>
          </cell>
          <cell r="U170">
            <v>2192.1686300000001</v>
          </cell>
          <cell r="V170">
            <v>-4282.0175799999997</v>
          </cell>
          <cell r="W170">
            <v>-4737.6630600000008</v>
          </cell>
          <cell r="X170">
            <v>16268.512009999999</v>
          </cell>
          <cell r="Y170">
            <v>32587.005079999901</v>
          </cell>
          <cell r="Z170">
            <v>12008.994920000101</v>
          </cell>
          <cell r="AA170">
            <v>-14460</v>
          </cell>
          <cell r="AB170">
            <v>-15022.65524</v>
          </cell>
          <cell r="AC170">
            <v>-58875.307989999994</v>
          </cell>
          <cell r="AD170">
            <v>55206.048559999981</v>
          </cell>
          <cell r="AE170">
            <v>13114.066510000008</v>
          </cell>
          <cell r="AF170">
            <v>139113.97756095891</v>
          </cell>
          <cell r="AG170">
            <v>-2224.8411999999998</v>
          </cell>
          <cell r="AH170">
            <v>-1792.1898000000001</v>
          </cell>
          <cell r="AI170">
            <v>-865.09953000000019</v>
          </cell>
        </row>
        <row r="172">
          <cell r="A172" t="str">
            <v>TotalresQ</v>
          </cell>
          <cell r="C172" t="str">
            <v>Periodens totalresultat</v>
          </cell>
          <cell r="E172">
            <v>65177.902349499047</v>
          </cell>
          <cell r="F172">
            <v>55458.337736646885</v>
          </cell>
          <cell r="G172">
            <v>60701.758504857949</v>
          </cell>
          <cell r="H172">
            <v>68221.354433755347</v>
          </cell>
          <cell r="I172">
            <v>99065</v>
          </cell>
          <cell r="J172">
            <v>104001</v>
          </cell>
          <cell r="K172">
            <v>93600</v>
          </cell>
          <cell r="L172">
            <v>118309.23771125398</v>
          </cell>
          <cell r="M172">
            <v>98236.185455813189</v>
          </cell>
          <cell r="N172">
            <v>94139.752786687051</v>
          </cell>
          <cell r="O172">
            <v>105460.60629303113</v>
          </cell>
          <cell r="P172">
            <v>101081.28018331237</v>
          </cell>
          <cell r="Q172">
            <v>103210.96480090257</v>
          </cell>
          <cell r="R172">
            <v>88550.08623001723</v>
          </cell>
          <cell r="S172">
            <v>88729.565425029054</v>
          </cell>
          <cell r="T172">
            <v>98051.268368136123</v>
          </cell>
          <cell r="U172">
            <v>105820.03650058458</v>
          </cell>
          <cell r="V172">
            <v>74942.713986327828</v>
          </cell>
          <cell r="W172">
            <v>101594.84409865843</v>
          </cell>
          <cell r="X172">
            <v>76153.68108383975</v>
          </cell>
          <cell r="Y172">
            <v>119595.50958079344</v>
          </cell>
          <cell r="Z172">
            <v>113109.48071837897</v>
          </cell>
          <cell r="AA172">
            <v>123296.16323254592</v>
          </cell>
          <cell r="AB172">
            <v>106045.00560183785</v>
          </cell>
          <cell r="AC172">
            <v>245861.76731484249</v>
          </cell>
          <cell r="AD172">
            <v>335927.72983907524</v>
          </cell>
          <cell r="AE172">
            <v>344240.6567759412</v>
          </cell>
          <cell r="AF172">
            <v>557132.85596257192</v>
          </cell>
          <cell r="AG172">
            <v>629461.24355512206</v>
          </cell>
          <cell r="AH172">
            <v>448839.00141244411</v>
          </cell>
          <cell r="AI172">
            <v>480193.0700272558</v>
          </cell>
        </row>
        <row r="174">
          <cell r="C174" t="str">
            <v>Koncernens resultaträkning (kSEK) - YTD</v>
          </cell>
        </row>
        <row r="175">
          <cell r="C175" t="str">
            <v>Rörelsens intäkter</v>
          </cell>
          <cell r="Y175">
            <v>9091.2990000000009</v>
          </cell>
          <cell r="Z175">
            <v>17708.038250000001</v>
          </cell>
          <cell r="AA175">
            <v>26126.187999999998</v>
          </cell>
          <cell r="AB175">
            <v>36059.925999999999</v>
          </cell>
          <cell r="AC175">
            <v>9988.0560000000005</v>
          </cell>
          <cell r="AD175">
            <v>19912.171689999999</v>
          </cell>
          <cell r="AE175">
            <v>30229.132000000001</v>
          </cell>
        </row>
        <row r="176">
          <cell r="A176" t="str">
            <v>ProvisIntYTD</v>
          </cell>
          <cell r="C176" t="str">
            <v>Provisionsintäkter</v>
          </cell>
          <cell r="E176">
            <v>142524.29801000003</v>
          </cell>
          <cell r="F176">
            <v>270047.94041999988</v>
          </cell>
          <cell r="G176">
            <v>407028.64893999975</v>
          </cell>
          <cell r="H176">
            <v>577118.69959999993</v>
          </cell>
          <cell r="I176">
            <v>205833</v>
          </cell>
          <cell r="J176">
            <v>423683</v>
          </cell>
          <cell r="K176">
            <v>626827</v>
          </cell>
          <cell r="L176">
            <v>882301</v>
          </cell>
          <cell r="M176">
            <v>228939.95214999997</v>
          </cell>
          <cell r="N176">
            <v>457036.01968000014</v>
          </cell>
          <cell r="O176">
            <v>683686.11043000035</v>
          </cell>
          <cell r="P176">
            <v>934039.56807999872</v>
          </cell>
          <cell r="Q176">
            <v>252798.10407999996</v>
          </cell>
          <cell r="R176">
            <v>496279.90053999983</v>
          </cell>
          <cell r="S176">
            <v>732306.72263999993</v>
          </cell>
          <cell r="T176">
            <v>1022714.9517899994</v>
          </cell>
          <cell r="U176">
            <v>295615.27813000005</v>
          </cell>
          <cell r="V176">
            <v>562065.26405999996</v>
          </cell>
          <cell r="W176">
            <v>846878.77837999794</v>
          </cell>
          <cell r="X176">
            <v>1139225.5651397998</v>
          </cell>
          <cell r="Y176">
            <v>288168.15437</v>
          </cell>
          <cell r="Z176">
            <v>579309.82859003695</v>
          </cell>
          <cell r="AA176">
            <v>898269.33227999799</v>
          </cell>
          <cell r="AB176">
            <v>1227548.3099400001</v>
          </cell>
          <cell r="AC176">
            <v>548049.70834999904</v>
          </cell>
          <cell r="AD176">
            <v>1073288.2557300001</v>
          </cell>
          <cell r="AE176">
            <v>1653694.0070499999</v>
          </cell>
          <cell r="AF176">
            <v>2310484.4692399949</v>
          </cell>
          <cell r="AG176">
            <v>1009744.3462499976</v>
          </cell>
          <cell r="AH176">
            <v>1789404.5695100054</v>
          </cell>
          <cell r="AI176">
            <v>2572340.9913699925</v>
          </cell>
        </row>
        <row r="177">
          <cell r="A177" t="str">
            <v>ProvisKostnYTD</v>
          </cell>
          <cell r="C177" t="str">
            <v>Provisionskostnader</v>
          </cell>
          <cell r="E177">
            <v>-23689.601227498999</v>
          </cell>
          <cell r="F177">
            <v>-43204.418004902</v>
          </cell>
          <cell r="G177">
            <v>-63982.150098199898</v>
          </cell>
          <cell r="H177">
            <v>-90742.093125311701</v>
          </cell>
          <cell r="I177">
            <v>-30628</v>
          </cell>
          <cell r="J177">
            <v>-60075</v>
          </cell>
          <cell r="K177">
            <v>-90952</v>
          </cell>
          <cell r="L177">
            <v>-126773.75357</v>
          </cell>
          <cell r="M177">
            <v>-36730.3578399998</v>
          </cell>
          <cell r="N177">
            <v>-73372.251279999895</v>
          </cell>
          <cell r="O177">
            <v>-106898.33105000301</v>
          </cell>
          <cell r="P177">
            <v>-143168.83213000299</v>
          </cell>
          <cell r="Q177">
            <v>-37249.958169999198</v>
          </cell>
          <cell r="R177">
            <v>-74359.438539998999</v>
          </cell>
          <cell r="S177">
            <v>-110748.70166000001</v>
          </cell>
          <cell r="T177">
            <v>-157331.36018999701</v>
          </cell>
          <cell r="U177">
            <v>-46853.549409999512</v>
          </cell>
          <cell r="V177">
            <v>-91916.027869997546</v>
          </cell>
          <cell r="W177">
            <v>-134325.59441999905</v>
          </cell>
          <cell r="X177">
            <v>-182956.0380100004</v>
          </cell>
          <cell r="Y177">
            <v>-50695.30768732354</v>
          </cell>
          <cell r="Z177">
            <v>-99658.466445546452</v>
          </cell>
          <cell r="AA177">
            <v>-150117.32314196974</v>
          </cell>
          <cell r="AB177">
            <v>-199968.45495999604</v>
          </cell>
          <cell r="AC177">
            <v>-69776.105223916471</v>
          </cell>
          <cell r="AD177">
            <v>-144622.16848086938</v>
          </cell>
          <cell r="AE177">
            <v>-224329.79513698816</v>
          </cell>
          <cell r="AF177">
            <v>-312269.93655269593</v>
          </cell>
          <cell r="AG177">
            <v>-128743.32793762907</v>
          </cell>
          <cell r="AH177">
            <v>-235054.28431413323</v>
          </cell>
          <cell r="AI177">
            <v>-333893.2634306401</v>
          </cell>
        </row>
        <row r="178">
          <cell r="A178" t="str">
            <v>RänteintYTD</v>
          </cell>
          <cell r="C178" t="str">
            <v>Ränteintäkter enligt effektivräntemetoden</v>
          </cell>
          <cell r="E178">
            <v>63763.097099999999</v>
          </cell>
          <cell r="F178">
            <v>132053.10553000003</v>
          </cell>
          <cell r="G178">
            <v>189645.04983999996</v>
          </cell>
          <cell r="H178">
            <v>246506.41571999999</v>
          </cell>
          <cell r="I178">
            <v>48842</v>
          </cell>
          <cell r="J178">
            <v>95434</v>
          </cell>
          <cell r="K178">
            <v>143301</v>
          </cell>
          <cell r="L178">
            <v>194066</v>
          </cell>
          <cell r="M178">
            <v>53028.598679999996</v>
          </cell>
          <cell r="N178">
            <v>103841.53089999998</v>
          </cell>
          <cell r="O178">
            <v>155172.24525999997</v>
          </cell>
          <cell r="P178">
            <v>211183.94102999996</v>
          </cell>
          <cell r="Q178">
            <v>53850.355750000002</v>
          </cell>
          <cell r="R178">
            <v>108051.32778000001</v>
          </cell>
          <cell r="S178">
            <v>162294.12680999999</v>
          </cell>
          <cell r="T178">
            <v>217933.34063999998</v>
          </cell>
          <cell r="U178">
            <v>51525.225509999997</v>
          </cell>
          <cell r="V178">
            <v>103340.28513999999</v>
          </cell>
          <cell r="W178">
            <v>156689.36841</v>
          </cell>
          <cell r="X178">
            <v>212097.28688</v>
          </cell>
          <cell r="Y178">
            <v>51593.082240000011</v>
          </cell>
          <cell r="Z178">
            <v>114265.36108999987</v>
          </cell>
          <cell r="AA178">
            <v>181538.44830999998</v>
          </cell>
          <cell r="AB178">
            <v>252600.7211900003</v>
          </cell>
          <cell r="AC178">
            <v>81524.754839999994</v>
          </cell>
          <cell r="AD178">
            <v>174754.43733000019</v>
          </cell>
          <cell r="AE178">
            <v>268958.01062000025</v>
          </cell>
          <cell r="AF178">
            <v>363802.39258000004</v>
          </cell>
          <cell r="AG178">
            <v>98286.143690000012</v>
          </cell>
          <cell r="AH178">
            <v>203562.62371999997</v>
          </cell>
          <cell r="AI178">
            <v>313149.28000999993</v>
          </cell>
        </row>
        <row r="179">
          <cell r="A179" t="str">
            <v>ÖvrRänteintYTD</v>
          </cell>
          <cell r="C179" t="str">
            <v>Övriga ränteintäkter</v>
          </cell>
          <cell r="U179">
            <v>183.39022999999997</v>
          </cell>
          <cell r="V179">
            <v>183.39022999999906</v>
          </cell>
          <cell r="W179">
            <v>308.39022000000114</v>
          </cell>
          <cell r="X179">
            <v>323.39921999999933</v>
          </cell>
          <cell r="Y179">
            <v>0</v>
          </cell>
          <cell r="Z179">
            <v>0</v>
          </cell>
          <cell r="AA179">
            <v>0</v>
          </cell>
          <cell r="AB179">
            <v>0</v>
          </cell>
          <cell r="AC179">
            <v>0</v>
          </cell>
          <cell r="AD179">
            <v>0</v>
          </cell>
          <cell r="AE179">
            <v>0</v>
          </cell>
        </row>
        <row r="180">
          <cell r="A180" t="str">
            <v>RäntekostnYTD</v>
          </cell>
          <cell r="C180" t="str">
            <v>Räntekostnader</v>
          </cell>
          <cell r="E180">
            <v>-14527.554760000001</v>
          </cell>
          <cell r="F180">
            <v>-30557.66131</v>
          </cell>
          <cell r="G180">
            <v>-42673.639930000005</v>
          </cell>
          <cell r="H180">
            <v>-54996.85398</v>
          </cell>
          <cell r="I180">
            <v>-5565</v>
          </cell>
          <cell r="J180">
            <v>-15984</v>
          </cell>
          <cell r="K180">
            <v>-34992</v>
          </cell>
          <cell r="L180">
            <v>-55346</v>
          </cell>
          <cell r="M180">
            <v>-21552.365279999998</v>
          </cell>
          <cell r="N180">
            <v>-45410.071069999998</v>
          </cell>
          <cell r="O180">
            <v>-71413.88063</v>
          </cell>
          <cell r="P180">
            <v>-96915.168390000006</v>
          </cell>
          <cell r="Q180">
            <v>-24912.67856</v>
          </cell>
          <cell r="R180">
            <v>-52281.765769999991</v>
          </cell>
          <cell r="S180">
            <v>-81324.386829999989</v>
          </cell>
          <cell r="T180">
            <v>-110424.25214</v>
          </cell>
          <cell r="U180">
            <v>-29035.490460000005</v>
          </cell>
          <cell r="V180">
            <v>-58491.491050000004</v>
          </cell>
          <cell r="W180">
            <v>-87469.560819999999</v>
          </cell>
          <cell r="X180">
            <v>-121862.75150999983</v>
          </cell>
          <cell r="Y180">
            <v>-21316.934540000002</v>
          </cell>
          <cell r="Z180">
            <v>-42009.043020000034</v>
          </cell>
          <cell r="AA180">
            <v>-64532.782770000005</v>
          </cell>
          <cell r="AB180">
            <v>-87267.360599999985</v>
          </cell>
          <cell r="AC180">
            <v>-17852.391770000002</v>
          </cell>
          <cell r="AD180">
            <v>-37661.272900000033</v>
          </cell>
          <cell r="AE180">
            <v>-58257.920209999989</v>
          </cell>
          <cell r="AF180">
            <v>-80486.242719999995</v>
          </cell>
          <cell r="AG180">
            <v>-21895.422609999998</v>
          </cell>
          <cell r="AH180">
            <v>-47177.734260000005</v>
          </cell>
          <cell r="AI180">
            <v>-73919.315960000007</v>
          </cell>
        </row>
        <row r="181">
          <cell r="A181" t="str">
            <v>NetFinTransYTD</v>
          </cell>
          <cell r="C181" t="str">
            <v>Nettoresultat av finansiella transaktioner</v>
          </cell>
          <cell r="E181">
            <v>95.18258999999999</v>
          </cell>
          <cell r="F181">
            <v>79.888189999999668</v>
          </cell>
          <cell r="G181">
            <v>124.53578999999991</v>
          </cell>
          <cell r="H181">
            <v>163.64570000000003</v>
          </cell>
          <cell r="I181">
            <v>875</v>
          </cell>
          <cell r="J181">
            <v>1360</v>
          </cell>
          <cell r="K181">
            <v>1492</v>
          </cell>
          <cell r="L181">
            <v>1563</v>
          </cell>
          <cell r="M181">
            <v>390.60632999999996</v>
          </cell>
          <cell r="N181">
            <v>2655.0032999999999</v>
          </cell>
          <cell r="O181">
            <v>2895.2855700000005</v>
          </cell>
          <cell r="P181">
            <v>3482.6680099999999</v>
          </cell>
          <cell r="Q181">
            <v>0.72023999999999688</v>
          </cell>
          <cell r="R181">
            <v>335.63130000000001</v>
          </cell>
          <cell r="S181">
            <v>2112.6935999999996</v>
          </cell>
          <cell r="T181">
            <v>2483.7256999999991</v>
          </cell>
          <cell r="U181">
            <v>-122.84312</v>
          </cell>
          <cell r="V181">
            <v>-186.90846000000002</v>
          </cell>
          <cell r="W181">
            <v>1.969890000000305</v>
          </cell>
          <cell r="X181">
            <v>2027.5584699999984</v>
          </cell>
          <cell r="Y181">
            <v>-152.13499000000002</v>
          </cell>
          <cell r="Z181">
            <v>-211.79707000000008</v>
          </cell>
          <cell r="AA181">
            <v>-439.04521999999997</v>
          </cell>
          <cell r="AB181">
            <v>472.8107600000003</v>
          </cell>
          <cell r="AC181">
            <v>-290.98545000000001</v>
          </cell>
          <cell r="AD181">
            <v>1539.9040799999996</v>
          </cell>
          <cell r="AE181">
            <v>2635.2627699999994</v>
          </cell>
          <cell r="AF181">
            <v>67185.015660000005</v>
          </cell>
          <cell r="AG181">
            <v>-644.64333999999997</v>
          </cell>
          <cell r="AH181">
            <v>-420.99299999999999</v>
          </cell>
          <cell r="AI181">
            <v>-429.35995999999977</v>
          </cell>
        </row>
        <row r="182">
          <cell r="A182" t="str">
            <v>ÖvrRörIntYTD</v>
          </cell>
          <cell r="C182" t="str">
            <v>Övriga rörelseintäkter</v>
          </cell>
          <cell r="E182">
            <v>0</v>
          </cell>
          <cell r="F182">
            <v>0</v>
          </cell>
          <cell r="G182">
            <v>18.914000000000001</v>
          </cell>
          <cell r="H182">
            <v>18.914000000000001</v>
          </cell>
          <cell r="I182">
            <v>0</v>
          </cell>
          <cell r="J182">
            <v>0</v>
          </cell>
          <cell r="K182">
            <v>0</v>
          </cell>
          <cell r="L182">
            <v>30</v>
          </cell>
          <cell r="M182">
            <v>0</v>
          </cell>
          <cell r="N182">
            <v>0.97699999999999998</v>
          </cell>
          <cell r="O182">
            <v>1.2189999999999999</v>
          </cell>
          <cell r="P182">
            <v>4.8500499999999995</v>
          </cell>
          <cell r="Q182">
            <v>0</v>
          </cell>
          <cell r="R182">
            <v>11.95426</v>
          </cell>
          <cell r="S182">
            <v>67.327259999999995</v>
          </cell>
          <cell r="T182">
            <v>120.53926</v>
          </cell>
          <cell r="U182">
            <v>0</v>
          </cell>
          <cell r="V182">
            <v>1.49</v>
          </cell>
          <cell r="W182">
            <v>1.49</v>
          </cell>
          <cell r="X182">
            <v>141.91399999999999</v>
          </cell>
          <cell r="Y182">
            <v>55.5</v>
          </cell>
          <cell r="Z182">
            <v>55.5</v>
          </cell>
          <cell r="AA182">
            <v>61.945699999999995</v>
          </cell>
          <cell r="AB182">
            <v>63.909700000000001</v>
          </cell>
          <cell r="AC182">
            <v>0</v>
          </cell>
          <cell r="AD182">
            <v>0</v>
          </cell>
          <cell r="AE182">
            <v>0</v>
          </cell>
          <cell r="AF182">
            <v>65.542400000000001</v>
          </cell>
          <cell r="AG182">
            <v>0</v>
          </cell>
          <cell r="AH182">
            <v>0</v>
          </cell>
          <cell r="AI182">
            <v>0</v>
          </cell>
        </row>
        <row r="183">
          <cell r="A183" t="str">
            <v>RörelsensIntYTD</v>
          </cell>
          <cell r="C183" t="str">
            <v>Summa rörelsens intäkter</v>
          </cell>
          <cell r="E183">
            <v>168165.42171250103</v>
          </cell>
          <cell r="F183">
            <v>328418.85482509795</v>
          </cell>
          <cell r="G183">
            <v>490161.35854179977</v>
          </cell>
          <cell r="H183">
            <v>678068.72791468818</v>
          </cell>
          <cell r="I183">
            <v>219357</v>
          </cell>
          <cell r="J183">
            <v>444418</v>
          </cell>
          <cell r="K183">
            <v>645676</v>
          </cell>
          <cell r="L183">
            <v>895840.24643000006</v>
          </cell>
          <cell r="M183">
            <v>224076.43404000017</v>
          </cell>
          <cell r="N183">
            <v>444751.20853000018</v>
          </cell>
          <cell r="O183">
            <v>663442.64857999736</v>
          </cell>
          <cell r="P183">
            <v>908627.02664999571</v>
          </cell>
          <cell r="Q183">
            <v>244486.54334000076</v>
          </cell>
          <cell r="R183">
            <v>478037.60957000084</v>
          </cell>
          <cell r="S183">
            <v>704707.78181999992</v>
          </cell>
          <cell r="T183">
            <v>975496.94506000227</v>
          </cell>
          <cell r="U183">
            <v>271312.0108800006</v>
          </cell>
          <cell r="V183">
            <v>514996.00205000245</v>
          </cell>
          <cell r="W183">
            <v>782084.84165999887</v>
          </cell>
          <cell r="X183">
            <v>1048996.9341897997</v>
          </cell>
          <cell r="Y183">
            <v>267652.3593926765</v>
          </cell>
          <cell r="Z183">
            <v>551751.38314449042</v>
          </cell>
          <cell r="AA183">
            <v>864780.57515802828</v>
          </cell>
          <cell r="AB183">
            <v>1193449.9360300044</v>
          </cell>
          <cell r="AC183">
            <v>541654.9807460825</v>
          </cell>
          <cell r="AD183">
            <v>1067299.1557591308</v>
          </cell>
          <cell r="AE183">
            <v>1642699.5650930121</v>
          </cell>
          <cell r="AF183">
            <v>2348781.2406072994</v>
          </cell>
          <cell r="AG183">
            <v>956747.09605236864</v>
          </cell>
          <cell r="AH183">
            <v>1710314.1816558721</v>
          </cell>
          <cell r="AI183">
            <v>2477248.3320293524</v>
          </cell>
        </row>
        <row r="184">
          <cell r="A184" t="str">
            <v>DeltaRörIntYTD</v>
          </cell>
          <cell r="C184" t="str">
            <v>Förändring rörelsens intäkter (år mot år) - YTD</v>
          </cell>
          <cell r="I184">
            <v>0.30441203528164729</v>
          </cell>
          <cell r="J184">
            <v>0.35320488903317782</v>
          </cell>
          <cell r="K184">
            <v>0.31727234052240849</v>
          </cell>
          <cell r="L184">
            <v>0.32116437397878483</v>
          </cell>
          <cell r="M184">
            <v>2.1514854962459307E-2</v>
          </cell>
          <cell r="N184">
            <v>7.4976380344660143E-4</v>
          </cell>
          <cell r="O184">
            <v>2.7516352752769757E-2</v>
          </cell>
          <cell r="P184">
            <v>1.4273504981442864E-2</v>
          </cell>
          <cell r="Q184">
            <v>9.1085478878859538E-2</v>
          </cell>
          <cell r="R184">
            <v>7.4842744441368625E-2</v>
          </cell>
          <cell r="S184">
            <v>6.2198493461830706E-2</v>
          </cell>
          <cell r="T184">
            <v>7.3594463348232386E-2</v>
          </cell>
          <cell r="U184">
            <v>0.10972165246205146</v>
          </cell>
          <cell r="V184">
            <v>7.731272966837488E-2</v>
          </cell>
          <cell r="W184">
            <v>0.10980020632121112</v>
          </cell>
          <cell r="X184">
            <v>7.5346201238258637E-2</v>
          </cell>
          <cell r="Y184">
            <v>-1.3488719041424013E-2</v>
          </cell>
          <cell r="Z184">
            <v>7.1370226075889498E-2</v>
          </cell>
          <cell r="AA184">
            <v>0.10573754801653634</v>
          </cell>
          <cell r="AB184">
            <v>0.13770583796012148</v>
          </cell>
          <cell r="AC184">
            <v>1.0237257836065363</v>
          </cell>
          <cell r="AD184">
            <v>0.93438419615095158</v>
          </cell>
          <cell r="AE184">
            <v>0.89955650286528277</v>
          </cell>
          <cell r="AF184">
            <v>0.9680601336495851</v>
          </cell>
          <cell r="AG184">
            <v>0.76634043821499231</v>
          </cell>
          <cell r="AH184">
            <v>0.60246934744306824</v>
          </cell>
          <cell r="AI184">
            <v>0.50803493509726905</v>
          </cell>
        </row>
        <row r="186">
          <cell r="C186" t="str">
            <v>Rörelsens kostnader</v>
          </cell>
        </row>
        <row r="187">
          <cell r="A187" t="str">
            <v>AllmAdminKostnYTD</v>
          </cell>
          <cell r="C187" t="str">
            <v>Allmänna administrationskostnader</v>
          </cell>
          <cell r="E187">
            <v>-83132.554363001997</v>
          </cell>
          <cell r="F187">
            <v>-166274.842361118</v>
          </cell>
          <cell r="G187">
            <v>-240446.34516121095</v>
          </cell>
          <cell r="H187">
            <v>-334151.29382859298</v>
          </cell>
          <cell r="I187">
            <v>-91991</v>
          </cell>
          <cell r="J187">
            <v>-186704</v>
          </cell>
          <cell r="K187">
            <v>-269263</v>
          </cell>
          <cell r="L187">
            <v>-372098.76228874602</v>
          </cell>
          <cell r="M187">
            <v>-97985.448179186991</v>
          </cell>
          <cell r="N187">
            <v>-197017.06761416601</v>
          </cell>
          <cell r="O187">
            <v>-283387.68916613096</v>
          </cell>
          <cell r="P187">
            <v>-396874.398527816</v>
          </cell>
          <cell r="Q187">
            <v>-113000.91337409819</v>
          </cell>
          <cell r="R187">
            <v>-234942.72086241405</v>
          </cell>
          <cell r="S187">
            <v>-345120.81036738405</v>
          </cell>
          <cell r="T187">
            <v>-488923.48236069101</v>
          </cell>
          <cell r="U187">
            <v>-137917.48711941601</v>
          </cell>
          <cell r="V187">
            <v>-279580.75146309001</v>
          </cell>
          <cell r="W187">
            <v>-400389.19606442802</v>
          </cell>
          <cell r="X187">
            <v>-540853.03769038897</v>
          </cell>
          <cell r="Y187">
            <v>-138496.15536188299</v>
          </cell>
          <cell r="Z187">
            <v>-283114.03149531799</v>
          </cell>
          <cell r="AA187">
            <v>-410380.49133630999</v>
          </cell>
          <cell r="AB187">
            <v>-568871.28547644801</v>
          </cell>
          <cell r="AC187">
            <v>-152075.96898124</v>
          </cell>
          <cell r="AD187">
            <v>-314588.27324521297</v>
          </cell>
          <cell r="AE187">
            <v>-462116.65156315302</v>
          </cell>
          <cell r="AF187">
            <v>-640398.31091582705</v>
          </cell>
          <cell r="AG187">
            <v>-172066.512440747</v>
          </cell>
          <cell r="AH187">
            <v>-364146.39115748805</v>
          </cell>
          <cell r="AI187">
            <v>-530415.038018469</v>
          </cell>
        </row>
        <row r="188">
          <cell r="A188" t="str">
            <v>AvskrYTD</v>
          </cell>
          <cell r="C188" t="str">
            <v>Av- och nedskrivningar av materiella och immateriella anläggningstillgångar</v>
          </cell>
          <cell r="E188">
            <v>-2091.2610400000003</v>
          </cell>
          <cell r="F188">
            <v>-3907.5343899999998</v>
          </cell>
          <cell r="G188">
            <v>-5816.6201500000006</v>
          </cell>
          <cell r="H188">
            <v>-7460.7646199999999</v>
          </cell>
          <cell r="I188">
            <v>-1928</v>
          </cell>
          <cell r="J188">
            <v>-3956</v>
          </cell>
          <cell r="K188">
            <v>-6037</v>
          </cell>
          <cell r="L188">
            <v>-8220</v>
          </cell>
          <cell r="M188">
            <v>-2322.6096899999998</v>
          </cell>
          <cell r="N188">
            <v>-4290.5186400000002</v>
          </cell>
          <cell r="O188">
            <v>-6107.7731300000005</v>
          </cell>
          <cell r="P188">
            <v>-8059.0044199999993</v>
          </cell>
          <cell r="Q188">
            <v>-1971.1917599999979</v>
          </cell>
          <cell r="R188">
            <v>-4009.1808799999994</v>
          </cell>
          <cell r="S188">
            <v>-9127.0720099999999</v>
          </cell>
          <cell r="T188">
            <v>-12103.937610000001</v>
          </cell>
          <cell r="U188">
            <v>-4711.5806700000003</v>
          </cell>
          <cell r="V188">
            <v>-9550.7908200000002</v>
          </cell>
          <cell r="W188">
            <v>-14482.073780000017</v>
          </cell>
          <cell r="X188">
            <v>-19656.599200000026</v>
          </cell>
          <cell r="Y188">
            <v>-13607.147269999999</v>
          </cell>
          <cell r="Z188">
            <v>-27283.946859999993</v>
          </cell>
          <cell r="AA188">
            <v>-40881.436889999997</v>
          </cell>
          <cell r="AB188">
            <v>-63125.238150000179</v>
          </cell>
          <cell r="AC188">
            <v>-14416.619379999998</v>
          </cell>
          <cell r="AD188">
            <v>-31067.60022</v>
          </cell>
          <cell r="AE188">
            <v>-50168.808179999993</v>
          </cell>
          <cell r="AF188">
            <v>-84189.470720000012</v>
          </cell>
          <cell r="AG188">
            <v>-16981.514320000028</v>
          </cell>
          <cell r="AH188">
            <v>-34276.517640000005</v>
          </cell>
          <cell r="AI188">
            <v>-51987.406860000418</v>
          </cell>
        </row>
        <row r="189">
          <cell r="A189" t="str">
            <v>ÖvrRörKostnYTD</v>
          </cell>
          <cell r="C189" t="str">
            <v>Övriga rörelsekostnader</v>
          </cell>
          <cell r="E189">
            <v>-6911.3389599999991</v>
          </cell>
          <cell r="F189">
            <v>-15219.458987834001</v>
          </cell>
          <cell r="G189">
            <v>-29701.985639584993</v>
          </cell>
          <cell r="H189">
            <v>-41127.933561336002</v>
          </cell>
          <cell r="I189">
            <v>-10424</v>
          </cell>
          <cell r="J189">
            <v>-17542</v>
          </cell>
          <cell r="K189">
            <v>-25792</v>
          </cell>
          <cell r="L189">
            <v>-30679.246429999999</v>
          </cell>
          <cell r="M189">
            <v>-9130.7057150000001</v>
          </cell>
          <cell r="N189">
            <v>-17409.240033334001</v>
          </cell>
          <cell r="O189">
            <v>-25565.022748334999</v>
          </cell>
          <cell r="P189">
            <v>-38312.465983335998</v>
          </cell>
          <cell r="Q189">
            <v>-9123.4544050000004</v>
          </cell>
          <cell r="R189">
            <v>-15650.191536666998</v>
          </cell>
          <cell r="S189">
            <v>-23328.964986667001</v>
          </cell>
          <cell r="T189">
            <v>-33808.522265226406</v>
          </cell>
          <cell r="U189">
            <v>-9527.3120200000012</v>
          </cell>
          <cell r="V189">
            <v>-16088.59114</v>
          </cell>
          <cell r="W189">
            <v>-24908.35586</v>
          </cell>
          <cell r="X189">
            <v>-68804.060339999996</v>
          </cell>
          <cell r="Y189">
            <v>-12138.12326</v>
          </cell>
          <cell r="Z189">
            <v>-19639.469059999999</v>
          </cell>
          <cell r="AA189">
            <v>-27185.113809999999</v>
          </cell>
          <cell r="AB189">
            <v>-33525.571680000001</v>
          </cell>
          <cell r="AC189">
            <v>-12397.329959999999</v>
          </cell>
          <cell r="AD189">
            <v>-18621.073759999999</v>
          </cell>
          <cell r="AE189">
            <v>-29180.690309999998</v>
          </cell>
          <cell r="AF189">
            <v>-38005.066209999997</v>
          </cell>
          <cell r="AG189">
            <v>-13392.2520864995</v>
          </cell>
          <cell r="AH189">
            <v>-20374.692170817998</v>
          </cell>
          <cell r="AI189">
            <v>-28856.779106060996</v>
          </cell>
        </row>
        <row r="190">
          <cell r="A190" t="str">
            <v>RörelsensKostnYTD</v>
          </cell>
          <cell r="C190" t="str">
            <v>Summa rörelsens kostnader före kreditförluster</v>
          </cell>
          <cell r="E190">
            <v>-92135.154363001988</v>
          </cell>
          <cell r="F190">
            <v>-185401.83573895198</v>
          </cell>
          <cell r="G190">
            <v>-275964.95095079596</v>
          </cell>
          <cell r="H190">
            <v>-382739.99200992897</v>
          </cell>
          <cell r="I190">
            <v>-104343</v>
          </cell>
          <cell r="J190">
            <v>-208202</v>
          </cell>
          <cell r="K190">
            <v>-301092</v>
          </cell>
          <cell r="L190">
            <v>-410998.00871874602</v>
          </cell>
          <cell r="M190">
            <v>-109438.76358418699</v>
          </cell>
          <cell r="N190">
            <v>-218716.82628750001</v>
          </cell>
          <cell r="O190">
            <v>-315060.48504446592</v>
          </cell>
          <cell r="P190">
            <v>-443245.86893115198</v>
          </cell>
          <cell r="Q190">
            <v>-124095.55953909819</v>
          </cell>
          <cell r="R190">
            <v>-254602.09327908105</v>
          </cell>
          <cell r="S190">
            <v>-377576.84736405103</v>
          </cell>
          <cell r="T190">
            <v>-534835.94223591744</v>
          </cell>
          <cell r="U190">
            <v>-152156.37980941602</v>
          </cell>
          <cell r="V190">
            <v>-305220.13342308998</v>
          </cell>
          <cell r="W190">
            <v>-439779.62570442806</v>
          </cell>
          <cell r="X190">
            <v>-629313.69723038899</v>
          </cell>
          <cell r="Y190">
            <v>-164241.42589188297</v>
          </cell>
          <cell r="Z190">
            <v>-330037.44741531793</v>
          </cell>
          <cell r="AA190">
            <v>-478447.04203631001</v>
          </cell>
          <cell r="AB190">
            <v>-665522.09530644829</v>
          </cell>
          <cell r="AC190">
            <v>-178889.91832123999</v>
          </cell>
          <cell r="AD190">
            <v>-364276.94722521299</v>
          </cell>
          <cell r="AE190">
            <v>-541466.15005315305</v>
          </cell>
          <cell r="AF190">
            <v>-762592.847845827</v>
          </cell>
          <cell r="AG190">
            <v>-202440.27884724652</v>
          </cell>
          <cell r="AH190">
            <v>-418797.60096830607</v>
          </cell>
          <cell r="AI190">
            <v>-611259.22398453043</v>
          </cell>
        </row>
        <row r="191">
          <cell r="A191" t="str">
            <v>DeltaRörKostnYTD</v>
          </cell>
          <cell r="C191" t="str">
            <v>Förändring rörelsens kostnader (år mot år) - YTD</v>
          </cell>
          <cell r="I191">
            <v>0.13249932364470229</v>
          </cell>
          <cell r="J191">
            <v>0.12297701460276222</v>
          </cell>
          <cell r="K191">
            <v>9.1051595366123728E-2</v>
          </cell>
          <cell r="L191">
            <v>7.3830844172886989E-2</v>
          </cell>
          <cell r="M191">
            <v>4.8836659710636887E-2</v>
          </cell>
          <cell r="N191">
            <v>5.0503003273263403E-2</v>
          </cell>
          <cell r="O191">
            <v>4.6392747215023622E-2</v>
          </cell>
          <cell r="P191">
            <v>7.8462327136173071E-2</v>
          </cell>
          <cell r="Q191">
            <v>0.13392691469541584</v>
          </cell>
          <cell r="R191">
            <v>0.16407181651589253</v>
          </cell>
          <cell r="S191">
            <v>0.1984265412108468</v>
          </cell>
          <cell r="T191">
            <v>0.20663491692686664</v>
          </cell>
          <cell r="U191">
            <v>0.22612267815656084</v>
          </cell>
          <cell r="V191">
            <v>0.19881234868137621</v>
          </cell>
          <cell r="W191">
            <v>0.16474203536214849</v>
          </cell>
          <cell r="X191">
            <v>0.17664810371475959</v>
          </cell>
          <cell r="Y191">
            <v>7.942516835379565E-2</v>
          </cell>
          <cell r="Z191">
            <v>8.1309557511485275E-2</v>
          </cell>
          <cell r="AA191">
            <v>8.7924528722642448E-2</v>
          </cell>
          <cell r="AB191">
            <v>5.7536326057120002E-2</v>
          </cell>
          <cell r="AC191">
            <v>8.9188780174131344E-2</v>
          </cell>
          <cell r="AD191">
            <v>0.10374428743780761</v>
          </cell>
          <cell r="AE191">
            <v>0.13171595282234061</v>
          </cell>
          <cell r="AF191">
            <v>0.14585654364289913</v>
          </cell>
          <cell r="AG191">
            <v>0.13164722051980693</v>
          </cell>
          <cell r="AH191">
            <v>0.14966814166636211</v>
          </cell>
          <cell r="AI191">
            <v>0.12889646734985405</v>
          </cell>
        </row>
        <row r="193">
          <cell r="A193" t="str">
            <v>ResFKreditförlYTD</v>
          </cell>
          <cell r="C193" t="str">
            <v>Resultat före kreditförluster</v>
          </cell>
          <cell r="E193">
            <v>76030.267349499045</v>
          </cell>
          <cell r="F193">
            <v>143017.01908614597</v>
          </cell>
          <cell r="G193">
            <v>214196.40759100381</v>
          </cell>
          <cell r="H193">
            <v>295328.7359047592</v>
          </cell>
          <cell r="I193">
            <v>115014</v>
          </cell>
          <cell r="J193">
            <v>236216</v>
          </cell>
          <cell r="K193">
            <v>344584</v>
          </cell>
          <cell r="L193">
            <v>484842.23771125404</v>
          </cell>
          <cell r="M193">
            <v>114637.67045581318</v>
          </cell>
          <cell r="N193">
            <v>226034.38224250017</v>
          </cell>
          <cell r="O193">
            <v>348382.16353553144</v>
          </cell>
          <cell r="P193">
            <v>465381.15771884372</v>
          </cell>
          <cell r="Q193">
            <v>120390.98380090257</v>
          </cell>
          <cell r="R193">
            <v>223435.5162909198</v>
          </cell>
          <cell r="S193">
            <v>327130.93445594888</v>
          </cell>
          <cell r="T193">
            <v>440661.00282408483</v>
          </cell>
          <cell r="U193">
            <v>119155.63107058458</v>
          </cell>
          <cell r="V193">
            <v>209775.86862691247</v>
          </cell>
          <cell r="W193">
            <v>342305.21595557081</v>
          </cell>
          <cell r="X193">
            <v>419683.23695941071</v>
          </cell>
          <cell r="Y193">
            <v>103410.93350079353</v>
          </cell>
          <cell r="Z193">
            <v>221713.93572917249</v>
          </cell>
          <cell r="AA193">
            <v>386333.53312171827</v>
          </cell>
          <cell r="AB193">
            <v>527927.84072355612</v>
          </cell>
          <cell r="AC193">
            <v>362765.0624248425</v>
          </cell>
          <cell r="AD193">
            <v>703022.20853391779</v>
          </cell>
          <cell r="AE193">
            <v>1101233.415039859</v>
          </cell>
          <cell r="AF193">
            <v>1586188.3927614724</v>
          </cell>
          <cell r="AG193">
            <v>754306.81720512209</v>
          </cell>
          <cell r="AH193">
            <v>1291516.5806875662</v>
          </cell>
          <cell r="AI193">
            <v>1865989.108044822</v>
          </cell>
        </row>
        <row r="195">
          <cell r="A195" t="str">
            <v>KreditFörlYTD</v>
          </cell>
          <cell r="C195" t="str">
            <v>Kreditförluster, netto</v>
          </cell>
          <cell r="E195">
            <v>-114.011</v>
          </cell>
          <cell r="F195">
            <v>-216.30900000000003</v>
          </cell>
          <cell r="G195">
            <v>-125.58000000000004</v>
          </cell>
          <cell r="H195">
            <v>390.803</v>
          </cell>
          <cell r="I195">
            <v>-101</v>
          </cell>
          <cell r="J195">
            <v>-317</v>
          </cell>
          <cell r="K195">
            <v>-363</v>
          </cell>
          <cell r="L195">
            <v>-216</v>
          </cell>
          <cell r="M195">
            <v>-131.101</v>
          </cell>
          <cell r="N195">
            <v>-352.74900000000002</v>
          </cell>
          <cell r="O195">
            <v>-522.67399999999998</v>
          </cell>
          <cell r="P195">
            <v>-504.995</v>
          </cell>
          <cell r="Q195">
            <v>214.654</v>
          </cell>
          <cell r="R195">
            <v>283.20799999999997</v>
          </cell>
          <cell r="S195">
            <v>365.36499999999995</v>
          </cell>
          <cell r="T195">
            <v>390.65299999999996</v>
          </cell>
          <cell r="U195">
            <v>351.78980999999999</v>
          </cell>
          <cell r="V195">
            <v>-349.31218999999999</v>
          </cell>
          <cell r="W195">
            <v>-786.83319000000006</v>
          </cell>
          <cell r="X195">
            <v>-1160.976290000001</v>
          </cell>
          <cell r="Y195">
            <v>-1181.4269999999999</v>
          </cell>
          <cell r="Z195">
            <v>470.39859999999777</v>
          </cell>
          <cell r="AA195">
            <v>16.032560000000103</v>
          </cell>
          <cell r="AB195">
            <v>329.80080000000072</v>
          </cell>
          <cell r="AC195">
            <v>522.5798299999999</v>
          </cell>
          <cell r="AD195">
            <v>-4444.8779500000001</v>
          </cell>
          <cell r="AE195">
            <v>-4855.6734200000001</v>
          </cell>
          <cell r="AF195">
            <v>-3871.4396299999999</v>
          </cell>
          <cell r="AG195">
            <v>1434.9887600000015</v>
          </cell>
          <cell r="AH195">
            <v>575.65556000000015</v>
          </cell>
          <cell r="AI195">
            <v>53.251589999999851</v>
          </cell>
        </row>
        <row r="196">
          <cell r="A196" t="str">
            <v>AndIntressebolYTD</v>
          </cell>
          <cell r="C196" t="str">
            <v>Resultat från andelar i intresseföretag</v>
          </cell>
          <cell r="X196">
            <v>-655.20000000000005</v>
          </cell>
          <cell r="Y196">
            <v>-2265.2460000000001</v>
          </cell>
          <cell r="Z196">
            <v>-4759.8389999999999</v>
          </cell>
          <cell r="AA196">
            <v>-6400.6119999999992</v>
          </cell>
          <cell r="AB196">
            <v>-8241.9470000000001</v>
          </cell>
          <cell r="AC196">
            <v>-2393.0970000000002</v>
          </cell>
          <cell r="AD196">
            <v>-4488.3339999999998</v>
          </cell>
          <cell r="AE196">
            <v>-5828.2510000000002</v>
          </cell>
          <cell r="AF196">
            <v>-5828.2510000000002</v>
          </cell>
        </row>
        <row r="197">
          <cell r="A197" t="str">
            <v>RörelseresYTD</v>
          </cell>
          <cell r="C197" t="str">
            <v>Rörelseresultat</v>
          </cell>
          <cell r="E197">
            <v>75916.256349499046</v>
          </cell>
          <cell r="F197">
            <v>142800.71008614596</v>
          </cell>
          <cell r="G197">
            <v>214070.82759100382</v>
          </cell>
          <cell r="H197">
            <v>295719.53890475922</v>
          </cell>
          <cell r="I197">
            <v>114913</v>
          </cell>
          <cell r="J197">
            <v>235899</v>
          </cell>
          <cell r="K197">
            <v>344221</v>
          </cell>
          <cell r="L197">
            <v>484626.23771125404</v>
          </cell>
          <cell r="M197">
            <v>114506.56945581318</v>
          </cell>
          <cell r="N197">
            <v>225681.63324250016</v>
          </cell>
          <cell r="O197">
            <v>347859.48953553144</v>
          </cell>
          <cell r="P197">
            <v>464876.16271884373</v>
          </cell>
          <cell r="Q197">
            <v>120605.63780090256</v>
          </cell>
          <cell r="R197">
            <v>223718.72429091981</v>
          </cell>
          <cell r="S197">
            <v>327496.29945594887</v>
          </cell>
          <cell r="T197">
            <v>441051.65582408482</v>
          </cell>
          <cell r="U197">
            <v>119507.42088058458</v>
          </cell>
          <cell r="V197">
            <v>209426.55643691248</v>
          </cell>
          <cell r="W197">
            <v>341518.38276557083</v>
          </cell>
          <cell r="X197">
            <v>417867.06066941068</v>
          </cell>
          <cell r="Y197">
            <v>99964.260500793534</v>
          </cell>
          <cell r="Z197">
            <v>217424.49532917247</v>
          </cell>
          <cell r="AA197">
            <v>379948.95368171827</v>
          </cell>
          <cell r="AB197">
            <v>520015.6945235561</v>
          </cell>
          <cell r="AC197">
            <v>360894.54525484249</v>
          </cell>
          <cell r="AD197">
            <v>694088.99658391776</v>
          </cell>
          <cell r="AE197">
            <v>1090549.4906198592</v>
          </cell>
          <cell r="AF197">
            <v>1576488.7021314725</v>
          </cell>
          <cell r="AG197">
            <v>755741.80596512207</v>
          </cell>
          <cell r="AH197">
            <v>1292092.2362475663</v>
          </cell>
          <cell r="AI197">
            <v>1866042.359634822</v>
          </cell>
        </row>
        <row r="198">
          <cell r="A198" t="str">
            <v>DeltaRörresYTD</v>
          </cell>
          <cell r="C198" t="str">
            <v>Förändring rörelseresultat (år mot år) - YTD</v>
          </cell>
          <cell r="I198">
            <v>0.5136810681360513</v>
          </cell>
          <cell r="J198">
            <v>0.65194556706119711</v>
          </cell>
          <cell r="K198">
            <v>0.60797715351321258</v>
          </cell>
          <cell r="L198">
            <v>0.63880357553017486</v>
          </cell>
          <cell r="M198">
            <v>-3.5368543523084384E-3</v>
          </cell>
          <cell r="N198">
            <v>-4.3312463204591145E-2</v>
          </cell>
          <cell r="O198">
            <v>1.0570213715988874E-2</v>
          </cell>
          <cell r="P198">
            <v>-4.0753210320770172E-2</v>
          </cell>
          <cell r="Q198">
            <v>5.3263916420471791E-2</v>
          </cell>
          <cell r="R198">
            <v>-8.6976902966275915E-3</v>
          </cell>
          <cell r="S198">
            <v>-5.8538549880504553E-2</v>
          </cell>
          <cell r="T198">
            <v>-5.1249147203892953E-2</v>
          </cell>
          <cell r="U198">
            <v>-9.1058506081691526E-3</v>
          </cell>
          <cell r="V198">
            <v>-6.3884540282922675E-2</v>
          </cell>
          <cell r="W198">
            <v>4.2816005350033048E-2</v>
          </cell>
          <cell r="X198">
            <v>-5.2566620822122934E-2</v>
          </cell>
          <cell r="Y198">
            <v>-0.16353093586815137</v>
          </cell>
          <cell r="Z198">
            <v>3.8189707305192222E-2</v>
          </cell>
          <cell r="AA198">
            <v>0.11252855733545508</v>
          </cell>
          <cell r="AB198">
            <v>0.24445246698915746</v>
          </cell>
          <cell r="AC198">
            <v>2.6102357327194716</v>
          </cell>
          <cell r="AD198">
            <v>2.1923219853084781</v>
          </cell>
          <cell r="AE198">
            <v>1.8702526485529112</v>
          </cell>
          <cell r="AF198">
            <v>2.0316175429587142</v>
          </cell>
          <cell r="AG198">
            <v>1.0940793256696679</v>
          </cell>
          <cell r="AH198">
            <v>0.8615656531177236</v>
          </cell>
          <cell r="AI198">
            <v>0.71110286666053013</v>
          </cell>
        </row>
        <row r="200">
          <cell r="A200" t="str">
            <v>SkattYTD</v>
          </cell>
          <cell r="C200" t="str">
            <v>Skatt på periodens resultat</v>
          </cell>
          <cell r="E200">
            <v>-10738.354000000001</v>
          </cell>
          <cell r="F200">
            <v>-22164.47</v>
          </cell>
          <cell r="G200">
            <v>-32732.828999999994</v>
          </cell>
          <cell r="H200">
            <v>-46160.185880000012</v>
          </cell>
          <cell r="I200">
            <v>-15848</v>
          </cell>
          <cell r="J200">
            <v>-32833</v>
          </cell>
          <cell r="K200">
            <v>-47555</v>
          </cell>
          <cell r="L200">
            <v>-69651</v>
          </cell>
          <cell r="M200">
            <v>-16270.383999999998</v>
          </cell>
          <cell r="N200">
            <v>-33305.695</v>
          </cell>
          <cell r="O200">
            <v>-50022.945</v>
          </cell>
          <cell r="P200">
            <v>-65958.337999999989</v>
          </cell>
          <cell r="Q200">
            <v>-17394.672999999999</v>
          </cell>
          <cell r="R200">
            <v>-31957.673259999996</v>
          </cell>
          <cell r="S200">
            <v>-47005.682999999997</v>
          </cell>
          <cell r="T200">
            <v>-62509.771000000001</v>
          </cell>
          <cell r="U200">
            <v>-15879.55301</v>
          </cell>
          <cell r="V200">
            <v>-26573.957000000002</v>
          </cell>
          <cell r="W200">
            <v>-52333.276170000005</v>
          </cell>
          <cell r="X200">
            <v>-68796.784999999989</v>
          </cell>
          <cell r="Y200">
            <v>-12955.755999999999</v>
          </cell>
          <cell r="Z200">
            <v>-29315.505030000004</v>
          </cell>
          <cell r="AA200">
            <v>-54083.800150000003</v>
          </cell>
          <cell r="AB200">
            <v>-73082.880150000026</v>
          </cell>
          <cell r="AC200">
            <v>-56157.469949999999</v>
          </cell>
          <cell r="AD200">
            <v>-108630.24</v>
          </cell>
          <cell r="AE200">
            <v>-173964.14377</v>
          </cell>
          <cell r="AF200">
            <v>-241884.47688</v>
          </cell>
          <cell r="AG200">
            <v>-124055.72120999999</v>
          </cell>
          <cell r="AH200">
            <v>-209774.96028000003</v>
          </cell>
          <cell r="AI200">
            <v>-302666.91411000001</v>
          </cell>
        </row>
        <row r="201">
          <cell r="A201" t="str">
            <v>PeriodensResYTD</v>
          </cell>
          <cell r="C201" t="str">
            <v>Periodens resultat</v>
          </cell>
          <cell r="E201">
            <v>65177.902349499047</v>
          </cell>
          <cell r="F201">
            <v>120636.24008614596</v>
          </cell>
          <cell r="G201">
            <v>181337.99859100382</v>
          </cell>
          <cell r="H201">
            <v>249559.35302475921</v>
          </cell>
          <cell r="I201">
            <v>99065</v>
          </cell>
          <cell r="J201">
            <v>203066</v>
          </cell>
          <cell r="K201">
            <v>296666</v>
          </cell>
          <cell r="L201">
            <v>414975.23771125404</v>
          </cell>
          <cell r="M201">
            <v>98236.185455813189</v>
          </cell>
          <cell r="N201">
            <v>192375.93824250015</v>
          </cell>
          <cell r="O201">
            <v>297836.54453553143</v>
          </cell>
          <cell r="P201">
            <v>398917.82471884374</v>
          </cell>
          <cell r="Q201">
            <v>103210.96480090257</v>
          </cell>
          <cell r="R201">
            <v>191761.05103091983</v>
          </cell>
          <cell r="S201">
            <v>280490.61645594885</v>
          </cell>
          <cell r="T201">
            <v>378541.88482408482</v>
          </cell>
          <cell r="U201">
            <v>103627.86787058458</v>
          </cell>
          <cell r="V201">
            <v>182852.59943691248</v>
          </cell>
          <cell r="W201">
            <v>289185.1065955708</v>
          </cell>
          <cell r="X201">
            <v>349070.27566941071</v>
          </cell>
          <cell r="Y201">
            <v>87008.504500793541</v>
          </cell>
          <cell r="Z201">
            <v>188108.99029917247</v>
          </cell>
          <cell r="AA201">
            <v>325865.15353171824</v>
          </cell>
          <cell r="AB201">
            <v>446932.81437355606</v>
          </cell>
          <cell r="AC201">
            <v>304737.0753048425</v>
          </cell>
          <cell r="AD201">
            <v>585458.75658391777</v>
          </cell>
          <cell r="AE201">
            <v>916585.34684985923</v>
          </cell>
          <cell r="AF201">
            <v>1334604.2252514726</v>
          </cell>
          <cell r="AG201">
            <v>631686.08475512208</v>
          </cell>
          <cell r="AH201">
            <v>1082317.2759675663</v>
          </cell>
          <cell r="AI201">
            <v>1563375.445524822</v>
          </cell>
        </row>
        <row r="202">
          <cell r="A202" t="str">
            <v>DeltaPerresYTD</v>
          </cell>
          <cell r="C202" t="str">
            <v>Förändring periodens resultat (år mot år) - YTD</v>
          </cell>
          <cell r="I202">
            <v>0.51991697230129419</v>
          </cell>
          <cell r="J202">
            <v>0.68329185205864507</v>
          </cell>
          <cell r="K202">
            <v>0.63598364548574882</v>
          </cell>
          <cell r="L202">
            <v>0.66283183812423019</v>
          </cell>
          <cell r="M202">
            <v>-8.3663710108192735E-3</v>
          </cell>
          <cell r="N202">
            <v>-5.2643287194802935E-2</v>
          </cell>
          <cell r="O202">
            <v>3.9456646044084831E-3</v>
          </cell>
          <cell r="P202">
            <v>-3.869487027942442E-2</v>
          </cell>
          <cell r="Q202">
            <v>5.0641006895845386E-2</v>
          </cell>
          <cell r="R202">
            <v>-3.196279208292796E-3</v>
          </cell>
          <cell r="S202">
            <v>-5.8239757336135844E-2</v>
          </cell>
          <cell r="T202">
            <v>-5.1078038212806987E-2</v>
          </cell>
          <cell r="U202">
            <v>4.0393292562106442E-3</v>
          </cell>
          <cell r="V202">
            <v>-4.6456001081110809E-2</v>
          </cell>
          <cell r="W202">
            <v>3.0997436739518935E-2</v>
          </cell>
          <cell r="X202">
            <v>-7.7855609474682286E-2</v>
          </cell>
          <cell r="Y202">
            <v>-0.16037542517564962</v>
          </cell>
          <cell r="Z202">
            <v>2.8746601789894299E-2</v>
          </cell>
          <cell r="AA202">
            <v>0.12683933611921772</v>
          </cell>
          <cell r="AB202">
            <v>0.28035196785654337</v>
          </cell>
          <cell r="AC202">
            <v>2.5023826355050525</v>
          </cell>
          <cell r="AD202">
            <v>2.1123379890179197</v>
          </cell>
          <cell r="AE202">
            <v>1.8127749681606966</v>
          </cell>
          <cell r="AF202">
            <v>1.9861406062164448</v>
          </cell>
          <cell r="AG202">
            <v>1.072888847289807</v>
          </cell>
          <cell r="AH202">
            <v>0.84866527965651906</v>
          </cell>
          <cell r="AI202">
            <v>0.70565179870905115</v>
          </cell>
        </row>
        <row r="203">
          <cell r="AE203">
            <v>-0.15951971484679731</v>
          </cell>
          <cell r="AG203">
            <v>-0.16415093121859828</v>
          </cell>
          <cell r="AH203">
            <v>-0.16235292991870195</v>
          </cell>
          <cell r="AI203">
            <v>-0.16219723659929716</v>
          </cell>
        </row>
        <row r="204">
          <cell r="A204" t="str">
            <v>RPAYTD</v>
          </cell>
          <cell r="C204" t="str">
            <v>Resultat per aktie, SEK</v>
          </cell>
          <cell r="E204">
            <v>0.45146826526878586</v>
          </cell>
          <cell r="F204">
            <v>0.83561194940265959</v>
          </cell>
          <cell r="G204">
            <v>1.2560752755158784</v>
          </cell>
          <cell r="H204">
            <v>1.7286246431733243</v>
          </cell>
          <cell r="I204">
            <v>0.68619427883745054</v>
          </cell>
          <cell r="J204">
            <v>1.4006206302984783</v>
          </cell>
          <cell r="K204">
            <v>2.0379831640375521</v>
          </cell>
          <cell r="L204">
            <v>2.8450477359042612</v>
          </cell>
          <cell r="M204">
            <v>0.66954669339741069</v>
          </cell>
          <cell r="N204">
            <v>1.3051550727515615</v>
          </cell>
          <cell r="O204">
            <v>2.0124012657524211</v>
          </cell>
          <cell r="P204">
            <v>2.6899251618061246</v>
          </cell>
          <cell r="Q204">
            <v>0.69178749018414654</v>
          </cell>
          <cell r="R204">
            <v>1.2853081691819819</v>
          </cell>
          <cell r="S204">
            <v>1.8790910678476431</v>
          </cell>
          <cell r="T204">
            <v>2.5329215866672632</v>
          </cell>
          <cell r="U204">
            <v>0.69093946478049517</v>
          </cell>
          <cell r="V204">
            <v>1.2191708638302015</v>
          </cell>
          <cell r="W204">
            <v>1.9263879066886183</v>
          </cell>
          <cell r="X204">
            <v>2.3204498833886902</v>
          </cell>
          <cell r="Y204">
            <v>0.57482585800753616</v>
          </cell>
          <cell r="Z204">
            <v>1.2427510663244066</v>
          </cell>
          <cell r="AA204">
            <v>2.150197912052136</v>
          </cell>
          <cell r="AB204">
            <v>2.9381322475841745</v>
          </cell>
          <cell r="AC204">
            <v>1.9815616326713534</v>
          </cell>
          <cell r="AD204">
            <v>3.8069624721496216</v>
          </cell>
          <cell r="AE204">
            <v>5.9564913076257433</v>
          </cell>
          <cell r="AF204">
            <v>8.6578266751912807</v>
          </cell>
          <cell r="AG204">
            <v>4.0766036629521372</v>
          </cell>
          <cell r="AH204">
            <v>6.9847645502531126</v>
          </cell>
          <cell r="AI204">
            <v>10.085751981396568</v>
          </cell>
        </row>
        <row r="205">
          <cell r="A205" t="str">
            <v>DeltaRPAYTD</v>
          </cell>
          <cell r="C205" t="str">
            <v>Förändring resultat per aktie (år mot år) - YTD</v>
          </cell>
          <cell r="I205">
            <v>0.51991697230129419</v>
          </cell>
          <cell r="J205">
            <v>0.67616156195434662</v>
          </cell>
          <cell r="K205">
            <v>0.62250081962686421</v>
          </cell>
          <cell r="L205">
            <v>0.64584471657274434</v>
          </cell>
          <cell r="M205">
            <v>-2.4260746487487772E-2</v>
          </cell>
          <cell r="N205">
            <v>-6.8159468368370835E-2</v>
          </cell>
          <cell r="O205">
            <v>-1.2552556241166135E-2</v>
          </cell>
          <cell r="P205">
            <v>-5.4523715767754166E-2</v>
          </cell>
          <cell r="Q205">
            <v>3.3217693412660676E-2</v>
          </cell>
          <cell r="R205">
            <v>-1.5206548236247452E-2</v>
          </cell>
          <cell r="S205">
            <v>-6.6244342106858256E-2</v>
          </cell>
          <cell r="T205">
            <v>-5.8367265144820157E-2</v>
          </cell>
          <cell r="U205">
            <v>-1.2258466880133989E-3</v>
          </cell>
          <cell r="V205">
            <v>-5.1456379829805887E-2</v>
          </cell>
          <cell r="W205">
            <v>2.5170062084936662E-2</v>
          </cell>
          <cell r="X205">
            <v>-8.3884042994847086E-2</v>
          </cell>
          <cell r="Y205">
            <v>-0.1680517797747263</v>
          </cell>
          <cell r="Z205">
            <v>1.9341179480064419E-2</v>
          </cell>
          <cell r="AA205">
            <v>0.11618117233108971</v>
          </cell>
          <cell r="AB205">
            <v>0.26619077990749207</v>
          </cell>
          <cell r="AC205">
            <v>2.4472381592920174</v>
          </cell>
          <cell r="AD205">
            <v>2.0633347058065254</v>
          </cell>
          <cell r="AE205">
            <v>1.7702060699802762</v>
          </cell>
          <cell r="AF205">
            <v>1.9467110210270557</v>
          </cell>
          <cell r="AG205">
            <v>1.0572681645316511</v>
          </cell>
          <cell r="AH205">
            <v>0.83473427998073446</v>
          </cell>
          <cell r="AI205">
            <v>0.69323708547754892</v>
          </cell>
        </row>
        <row r="206">
          <cell r="A206" t="str">
            <v>RPAeUtspYTD</v>
          </cell>
          <cell r="C206" t="str">
            <v>Resultat per aktie efter utspädning, SEK</v>
          </cell>
          <cell r="E206">
            <v>0.44755324103428418</v>
          </cell>
          <cell r="F206">
            <v>0.82791925044585368</v>
          </cell>
          <cell r="G206">
            <v>1.2442727260917195</v>
          </cell>
          <cell r="H206">
            <v>1.7128722669605312</v>
          </cell>
          <cell r="I206">
            <v>0.67755667037044409</v>
          </cell>
          <cell r="J206">
            <v>1.3896324588289393</v>
          </cell>
          <cell r="K206">
            <v>2.0204928047767603</v>
          </cell>
          <cell r="L206">
            <v>2.8190026364095249</v>
          </cell>
          <cell r="M206">
            <v>0.66347853452009875</v>
          </cell>
          <cell r="N206">
            <v>1.3044123370058294</v>
          </cell>
          <cell r="O206">
            <v>2.0117318494190202</v>
          </cell>
          <cell r="P206">
            <v>2.6879680377081492</v>
          </cell>
          <cell r="Q206">
            <v>0.68981021098872197</v>
          </cell>
          <cell r="R206">
            <v>1.2822990463423789</v>
          </cell>
          <cell r="S206">
            <v>1.8790910678476431</v>
          </cell>
          <cell r="T206">
            <v>2.5329215866672632</v>
          </cell>
          <cell r="U206">
            <v>0.68808238128851851</v>
          </cell>
          <cell r="V206">
            <v>1.2141569225077642</v>
          </cell>
          <cell r="W206">
            <v>1.9225532510287695</v>
          </cell>
          <cell r="X206">
            <v>2.3143688272092886</v>
          </cell>
          <cell r="Y206">
            <v>0.57404090369992733</v>
          </cell>
          <cell r="Z206">
            <v>1.2419254575312115</v>
          </cell>
          <cell r="AA206">
            <v>2.150197912052136</v>
          </cell>
          <cell r="AB206">
            <v>2.9381322475841745</v>
          </cell>
          <cell r="AC206">
            <v>1.9789160748600219</v>
          </cell>
          <cell r="AD206">
            <v>3.784688314798041</v>
          </cell>
          <cell r="AE206">
            <v>5.9158456183300316</v>
          </cell>
          <cell r="AF206">
            <v>8.5781912092632897</v>
          </cell>
          <cell r="AG206">
            <v>3.9896344079066122</v>
          </cell>
          <cell r="AH206">
            <v>6.8294334622381037</v>
          </cell>
          <cell r="AI206">
            <v>9.9442196714592228</v>
          </cell>
        </row>
        <row r="207">
          <cell r="A207" t="str">
            <v>SnittAntAktYTD</v>
          </cell>
          <cell r="C207" t="str">
            <v>Genomsnittligt antal aktier före utspädning</v>
          </cell>
          <cell r="E207">
            <v>144368735</v>
          </cell>
          <cell r="F207">
            <v>144368735</v>
          </cell>
          <cell r="G207">
            <v>144368735</v>
          </cell>
          <cell r="H207">
            <v>144368735</v>
          </cell>
          <cell r="I207">
            <v>144368735</v>
          </cell>
          <cell r="J207">
            <v>144982870.88397789</v>
          </cell>
          <cell r="K207">
            <v>145568425.31135532</v>
          </cell>
          <cell r="L207">
            <v>145858796.13698629</v>
          </cell>
          <cell r="M207">
            <v>146720440</v>
          </cell>
          <cell r="N207">
            <v>147396996.92307693</v>
          </cell>
          <cell r="O207">
            <v>148000575.03649634</v>
          </cell>
          <cell r="P207">
            <v>148300714.97267759</v>
          </cell>
          <cell r="Q207">
            <v>149194610</v>
          </cell>
          <cell r="R207">
            <v>149194610</v>
          </cell>
          <cell r="S207">
            <v>149269304.32234433</v>
          </cell>
          <cell r="T207">
            <v>149448718.35616437</v>
          </cell>
          <cell r="U207">
            <v>149981110</v>
          </cell>
          <cell r="V207">
            <v>149981110</v>
          </cell>
          <cell r="W207">
            <v>150117795.8974359</v>
          </cell>
          <cell r="X207">
            <v>150432154.63013697</v>
          </cell>
          <cell r="Y207">
            <v>151364980</v>
          </cell>
          <cell r="Z207">
            <v>151364980</v>
          </cell>
          <cell r="AA207">
            <v>151551237.07692307</v>
          </cell>
          <cell r="AB207">
            <v>152114600.94794521</v>
          </cell>
          <cell r="AC207">
            <v>153786322</v>
          </cell>
          <cell r="AD207">
            <v>153786322</v>
          </cell>
          <cell r="AE207">
            <v>153880077.97080293</v>
          </cell>
          <cell r="AF207">
            <v>154150028.09836066</v>
          </cell>
          <cell r="AG207">
            <v>154954010</v>
          </cell>
          <cell r="AH207">
            <v>154954010</v>
          </cell>
          <cell r="AI207">
            <v>155008317.51648352</v>
          </cell>
        </row>
        <row r="208">
          <cell r="A208" t="str">
            <v>SnittAntAktEUtspYTD</v>
          </cell>
          <cell r="C208" t="str">
            <v>Genomsnittligt antal aktier efter utspädning</v>
          </cell>
          <cell r="E208">
            <v>145631617.36662787</v>
          </cell>
          <cell r="F208">
            <v>145710152.31398541</v>
          </cell>
          <cell r="G208">
            <v>145738144.69162995</v>
          </cell>
          <cell r="H208">
            <v>145696417.55459028</v>
          </cell>
          <cell r="I208">
            <v>146209172.35725489</v>
          </cell>
          <cell r="J208">
            <v>146129286.71162897</v>
          </cell>
          <cell r="K208">
            <v>146828535.74070409</v>
          </cell>
          <cell r="L208">
            <v>147206402.84316832</v>
          </cell>
          <cell r="M208">
            <v>148062341.65038735</v>
          </cell>
          <cell r="N208">
            <v>147480925.15291846</v>
          </cell>
          <cell r="O208">
            <v>148049823.15190038</v>
          </cell>
          <cell r="P208">
            <v>148408693.52709058</v>
          </cell>
          <cell r="Q208">
            <v>149622262.98878318</v>
          </cell>
          <cell r="R208">
            <v>149544719.36783993</v>
          </cell>
          <cell r="S208">
            <v>149269304.32234433</v>
          </cell>
          <cell r="T208">
            <v>149448718.35616437</v>
          </cell>
          <cell r="U208">
            <v>150603867.63068792</v>
          </cell>
          <cell r="V208">
            <v>150600466.91431123</v>
          </cell>
          <cell r="W208">
            <v>150417215.46117184</v>
          </cell>
          <cell r="X208">
            <v>150827418.5019708</v>
          </cell>
          <cell r="Y208">
            <v>151571959.31507373</v>
          </cell>
          <cell r="Z208">
            <v>151465604.60489231</v>
          </cell>
          <cell r="AA208">
            <v>151551237.07692307</v>
          </cell>
          <cell r="AB208">
            <v>152114600.94794521</v>
          </cell>
          <cell r="AC208">
            <v>153991914.65277171</v>
          </cell>
          <cell r="AD208">
            <v>154691405.97253093</v>
          </cell>
          <cell r="AE208">
            <v>154937333.72788718</v>
          </cell>
          <cell r="AF208">
            <v>155581076.79044038</v>
          </cell>
          <cell r="AG208">
            <v>158331821.95923862</v>
          </cell>
          <cell r="AH208">
            <v>158478339.66785222</v>
          </cell>
          <cell r="AI208">
            <v>157214492.15485916</v>
          </cell>
        </row>
        <row r="209">
          <cell r="A209" t="str">
            <v>UtestAntAktYTD</v>
          </cell>
          <cell r="C209" t="str">
            <v>Utestående antal aktier före utspädning</v>
          </cell>
          <cell r="E209">
            <v>144368735</v>
          </cell>
          <cell r="F209">
            <v>144368735</v>
          </cell>
          <cell r="G209">
            <v>144368735</v>
          </cell>
          <cell r="H209">
            <v>144368735</v>
          </cell>
          <cell r="I209">
            <v>144368735</v>
          </cell>
          <cell r="J209">
            <v>146720440</v>
          </cell>
          <cell r="K209">
            <v>146720440</v>
          </cell>
          <cell r="L209">
            <v>146720440</v>
          </cell>
          <cell r="M209">
            <v>146720440</v>
          </cell>
          <cell r="N209">
            <v>149194610</v>
          </cell>
          <cell r="O209">
            <v>149194610</v>
          </cell>
          <cell r="P209">
            <v>149194610</v>
          </cell>
          <cell r="Q209">
            <v>149194610</v>
          </cell>
          <cell r="R209">
            <v>149194610</v>
          </cell>
          <cell r="S209">
            <v>149981110</v>
          </cell>
          <cell r="T209">
            <v>149981110</v>
          </cell>
          <cell r="U209">
            <v>149981110</v>
          </cell>
          <cell r="V209">
            <v>149981110</v>
          </cell>
          <cell r="W209">
            <v>151364980</v>
          </cell>
          <cell r="X209">
            <v>151364980</v>
          </cell>
          <cell r="Y209">
            <v>151364980</v>
          </cell>
          <cell r="Z209">
            <v>151364980</v>
          </cell>
          <cell r="AA209">
            <v>153786322</v>
          </cell>
          <cell r="AB209">
            <v>153786322</v>
          </cell>
          <cell r="AC209">
            <v>153786322</v>
          </cell>
          <cell r="AD209">
            <v>153786322</v>
          </cell>
          <cell r="AE209">
            <v>154954010</v>
          </cell>
          <cell r="AF209">
            <v>154954010</v>
          </cell>
          <cell r="AG209">
            <v>154954010</v>
          </cell>
          <cell r="AH209">
            <v>154954010</v>
          </cell>
          <cell r="AI209">
            <v>155571758</v>
          </cell>
        </row>
        <row r="210">
          <cell r="A210" t="str">
            <v>UtestAntAktEUtspYTD</v>
          </cell>
          <cell r="C210" t="str">
            <v>Utestående antal aktier efter utspädning</v>
          </cell>
          <cell r="E210">
            <v>145717664.57746479</v>
          </cell>
          <cell r="F210">
            <v>146117160</v>
          </cell>
          <cell r="G210">
            <v>145644747.32032853</v>
          </cell>
          <cell r="H210">
            <v>145848421.04651162</v>
          </cell>
          <cell r="I210">
            <v>146332159.29284525</v>
          </cell>
          <cell r="J210">
            <v>147788526.23548922</v>
          </cell>
          <cell r="K210">
            <v>148148215.83697233</v>
          </cell>
          <cell r="L210">
            <v>148374973.33333331</v>
          </cell>
          <cell r="M210">
            <v>148325663.75690609</v>
          </cell>
          <cell r="N210">
            <v>149241941.26934984</v>
          </cell>
          <cell r="O210">
            <v>149355341.56342182</v>
          </cell>
          <cell r="P210">
            <v>149541460.94850948</v>
          </cell>
          <cell r="Q210">
            <v>149341071.85811815</v>
          </cell>
          <cell r="R210">
            <v>149535172.65289482</v>
          </cell>
          <cell r="S210">
            <v>149981110</v>
          </cell>
          <cell r="T210">
            <v>149981110</v>
          </cell>
          <cell r="U210">
            <v>150651015.72467062</v>
          </cell>
          <cell r="V210">
            <v>150929941.52173913</v>
          </cell>
          <cell r="W210">
            <v>151542193.43873519</v>
          </cell>
          <cell r="X210">
            <v>151643063.09726155</v>
          </cell>
          <cell r="Y210">
            <v>151509155.43859649</v>
          </cell>
          <cell r="Z210">
            <v>151364980</v>
          </cell>
          <cell r="AA210">
            <v>153786322</v>
          </cell>
          <cell r="AB210">
            <v>154125294.39263803</v>
          </cell>
          <cell r="AC210">
            <v>153786322</v>
          </cell>
          <cell r="AD210">
            <v>155745063.49659866</v>
          </cell>
          <cell r="AE210">
            <v>156949829.11262798</v>
          </cell>
          <cell r="AF210">
            <v>157940329.74248925</v>
          </cell>
          <cell r="AG210">
            <v>158472847.50921151</v>
          </cell>
          <cell r="AH210">
            <v>158418369.31060323</v>
          </cell>
          <cell r="AI210">
            <v>157972266.72093025</v>
          </cell>
        </row>
        <row r="211">
          <cell r="A211" t="str">
            <v>AntAktFullUtspYTD</v>
          </cell>
          <cell r="C211" t="str">
            <v>Antal aktier vid full utspädning</v>
          </cell>
          <cell r="E211">
            <v>151718735</v>
          </cell>
          <cell r="F211">
            <v>149268735</v>
          </cell>
          <cell r="G211">
            <v>151718735</v>
          </cell>
          <cell r="H211">
            <v>151718735</v>
          </cell>
          <cell r="I211">
            <v>151718735</v>
          </cell>
          <cell r="J211">
            <v>151620440</v>
          </cell>
          <cell r="K211">
            <v>154070440</v>
          </cell>
          <cell r="L211">
            <v>154070440</v>
          </cell>
          <cell r="M211">
            <v>154070440</v>
          </cell>
          <cell r="N211">
            <v>154094610</v>
          </cell>
          <cell r="O211">
            <v>156544610</v>
          </cell>
          <cell r="P211">
            <v>156544610</v>
          </cell>
          <cell r="Q211">
            <v>156544610</v>
          </cell>
          <cell r="R211">
            <v>156544610</v>
          </cell>
          <cell r="S211">
            <v>157131110</v>
          </cell>
          <cell r="T211">
            <v>157131110</v>
          </cell>
          <cell r="U211">
            <v>157131110</v>
          </cell>
          <cell r="V211">
            <v>157131110</v>
          </cell>
          <cell r="W211">
            <v>158314980</v>
          </cell>
          <cell r="X211">
            <v>158314980</v>
          </cell>
          <cell r="Y211">
            <v>158314980</v>
          </cell>
          <cell r="Z211">
            <v>158314980</v>
          </cell>
          <cell r="AA211">
            <v>160536322</v>
          </cell>
          <cell r="AB211">
            <v>160536322</v>
          </cell>
          <cell r="AC211">
            <v>160536322</v>
          </cell>
          <cell r="AD211">
            <v>160536322</v>
          </cell>
          <cell r="AE211">
            <v>161704010</v>
          </cell>
          <cell r="AF211">
            <v>161704010</v>
          </cell>
          <cell r="AG211">
            <v>161704010</v>
          </cell>
          <cell r="AH211">
            <v>161704010</v>
          </cell>
          <cell r="AI211">
            <v>161271758</v>
          </cell>
        </row>
        <row r="213">
          <cell r="C213" t="str">
            <v>Övrigt totalresultat</v>
          </cell>
        </row>
        <row r="214">
          <cell r="A214" t="str">
            <v>VärdeförändrFinTillgYTD</v>
          </cell>
          <cell r="C214" t="str">
            <v>Värdeförändringar av finansiella tillgångar som kan säljas</v>
          </cell>
          <cell r="E214">
            <v>0</v>
          </cell>
          <cell r="F214">
            <v>0</v>
          </cell>
          <cell r="G214">
            <v>0</v>
          </cell>
          <cell r="H214">
            <v>0</v>
          </cell>
          <cell r="I214">
            <v>0</v>
          </cell>
          <cell r="J214">
            <v>0</v>
          </cell>
          <cell r="K214">
            <v>0</v>
          </cell>
          <cell r="L214">
            <v>0</v>
          </cell>
          <cell r="M214">
            <v>0</v>
          </cell>
          <cell r="N214">
            <v>0</v>
          </cell>
          <cell r="O214">
            <v>0</v>
          </cell>
          <cell r="P214">
            <v>0</v>
          </cell>
          <cell r="Q214">
            <v>0</v>
          </cell>
          <cell r="R214">
            <v>0</v>
          </cell>
          <cell r="S214">
            <v>0</v>
          </cell>
          <cell r="T214">
            <v>0</v>
          </cell>
          <cell r="U214">
            <v>2810.4724700000002</v>
          </cell>
          <cell r="V214">
            <v>-2679.2935299999999</v>
          </cell>
          <cell r="W214">
            <v>-8753.2205300000005</v>
          </cell>
          <cell r="X214">
            <v>-38896</v>
          </cell>
          <cell r="Y214">
            <v>41459.2939999999</v>
          </cell>
          <cell r="Z214">
            <v>56738</v>
          </cell>
          <cell r="AA214">
            <v>38341</v>
          </cell>
          <cell r="AB214">
            <v>19228.173999999999</v>
          </cell>
          <cell r="AC214">
            <v>-74904.971999999994</v>
          </cell>
          <cell r="AD214">
            <v>-4668.2690000000102</v>
          </cell>
          <cell r="AE214">
            <v>12016.294</v>
          </cell>
          <cell r="AF214">
            <v>18359.511999999999</v>
          </cell>
          <cell r="AG214">
            <v>-2802.067</v>
          </cell>
          <cell r="AH214">
            <v>-5059.2330000000002</v>
          </cell>
          <cell r="AI214">
            <v>-6148.7790000000005</v>
          </cell>
        </row>
        <row r="215">
          <cell r="A215" t="str">
            <v>SkattVärdeförändrYTD</v>
          </cell>
          <cell r="C215" t="str">
            <v>Skatt på värdeförändringar av tillgångar som kan säljas</v>
          </cell>
          <cell r="E215">
            <v>0</v>
          </cell>
          <cell r="F215">
            <v>0</v>
          </cell>
          <cell r="G215">
            <v>0</v>
          </cell>
          <cell r="H215">
            <v>0</v>
          </cell>
          <cell r="I215">
            <v>0</v>
          </cell>
          <cell r="J215">
            <v>0</v>
          </cell>
          <cell r="K215">
            <v>0</v>
          </cell>
          <cell r="L215">
            <v>0</v>
          </cell>
          <cell r="M215">
            <v>0</v>
          </cell>
          <cell r="N215">
            <v>0</v>
          </cell>
          <cell r="O215">
            <v>0</v>
          </cell>
          <cell r="P215">
            <v>0</v>
          </cell>
          <cell r="Q215">
            <v>0</v>
          </cell>
          <cell r="R215">
            <v>0</v>
          </cell>
          <cell r="S215">
            <v>0</v>
          </cell>
          <cell r="T215">
            <v>0</v>
          </cell>
          <cell r="U215">
            <v>-618.30384000000004</v>
          </cell>
          <cell r="V215">
            <v>589.44457999999997</v>
          </cell>
          <cell r="W215">
            <v>1925.7085199999999</v>
          </cell>
          <cell r="X215">
            <v>8557</v>
          </cell>
          <cell r="Y215">
            <v>-8872.2889200000009</v>
          </cell>
          <cell r="Z215">
            <v>-12142</v>
          </cell>
          <cell r="AA215">
            <v>-8205</v>
          </cell>
          <cell r="AB215">
            <v>-4114.82924</v>
          </cell>
          <cell r="AC215">
            <v>16029.66401</v>
          </cell>
          <cell r="AD215">
            <v>999.00957000000096</v>
          </cell>
          <cell r="AE215">
            <v>-2571.4869199999998</v>
          </cell>
          <cell r="AF215">
            <v>-3928.9355700000001</v>
          </cell>
          <cell r="AG215">
            <v>577.22580000000005</v>
          </cell>
          <cell r="AH215">
            <v>1042.202</v>
          </cell>
          <cell r="AI215">
            <v>1266.6484700000001</v>
          </cell>
        </row>
        <row r="216">
          <cell r="A216" t="str">
            <v>VärdeförändrAktInneYTD</v>
          </cell>
          <cell r="C216" t="str">
            <v>Värdeförändringar av aktier och innehav</v>
          </cell>
          <cell r="AF216">
            <v>144128.061558785</v>
          </cell>
        </row>
        <row r="217">
          <cell r="A217" t="str">
            <v>SkattförändrAktInneYTD</v>
          </cell>
          <cell r="C217" t="str">
            <v>Skatt på värdeförändringar av aktier och innehav</v>
          </cell>
          <cell r="AF217">
            <v>0</v>
          </cell>
        </row>
        <row r="218">
          <cell r="A218" t="str">
            <v>VärdeförändrIntrbolYTD</v>
          </cell>
          <cell r="C218" t="str">
            <v>Värdeförändringar av intresseföretag</v>
          </cell>
          <cell r="X218">
            <v>39780</v>
          </cell>
          <cell r="Y218">
            <v>0</v>
          </cell>
          <cell r="Z218">
            <v>0</v>
          </cell>
          <cell r="AA218">
            <v>0</v>
          </cell>
          <cell r="AB218">
            <v>0</v>
          </cell>
          <cell r="AC218">
            <v>0</v>
          </cell>
          <cell r="AD218">
            <v>0</v>
          </cell>
          <cell r="AE218">
            <v>0</v>
          </cell>
          <cell r="AF218">
            <v>-9999.8533478260906</v>
          </cell>
        </row>
        <row r="219">
          <cell r="A219" t="str">
            <v>SkattVärdeförändrIntrbolYTD</v>
          </cell>
          <cell r="C219" t="str">
            <v>Skatt på värdeförändringar av intresseföretag</v>
          </cell>
          <cell r="X219">
            <v>0</v>
          </cell>
          <cell r="Y219">
            <v>0</v>
          </cell>
          <cell r="Z219">
            <v>0</v>
          </cell>
          <cell r="AA219">
            <v>0</v>
          </cell>
          <cell r="AB219">
            <v>0</v>
          </cell>
          <cell r="AC219">
            <v>0</v>
          </cell>
          <cell r="AD219">
            <v>0</v>
          </cell>
          <cell r="AE219">
            <v>0</v>
          </cell>
          <cell r="AF219">
            <v>0</v>
          </cell>
        </row>
        <row r="220">
          <cell r="A220" t="str">
            <v>ÖvrTotalresYTD</v>
          </cell>
          <cell r="C220" t="str">
            <v>Övrigt totalresultat</v>
          </cell>
          <cell r="E220">
            <v>0</v>
          </cell>
          <cell r="F220">
            <v>0</v>
          </cell>
          <cell r="G220">
            <v>0</v>
          </cell>
          <cell r="H220">
            <v>0</v>
          </cell>
          <cell r="I220">
            <v>0</v>
          </cell>
          <cell r="J220">
            <v>0</v>
          </cell>
          <cell r="K220">
            <v>0</v>
          </cell>
          <cell r="L220">
            <v>0</v>
          </cell>
          <cell r="M220">
            <v>0</v>
          </cell>
          <cell r="N220">
            <v>0</v>
          </cell>
          <cell r="O220">
            <v>0</v>
          </cell>
          <cell r="P220">
            <v>0</v>
          </cell>
          <cell r="Q220">
            <v>0</v>
          </cell>
          <cell r="R220">
            <v>0</v>
          </cell>
          <cell r="S220">
            <v>0</v>
          </cell>
          <cell r="T220">
            <v>0</v>
          </cell>
          <cell r="U220">
            <v>2192.1686300000001</v>
          </cell>
          <cell r="V220">
            <v>-2089.8489500000001</v>
          </cell>
          <cell r="W220">
            <v>-6827.5120100000004</v>
          </cell>
          <cell r="X220">
            <v>9441</v>
          </cell>
          <cell r="Y220">
            <v>32587.005079999901</v>
          </cell>
          <cell r="Z220">
            <v>44596</v>
          </cell>
          <cell r="AA220">
            <v>30136</v>
          </cell>
          <cell r="AB220">
            <v>15113.34476</v>
          </cell>
          <cell r="AC220">
            <v>-58875.307989999994</v>
          </cell>
          <cell r="AD220">
            <v>-3669.2594300000092</v>
          </cell>
          <cell r="AE220">
            <v>9444.8070800000005</v>
          </cell>
          <cell r="AF220">
            <v>148558.78464095891</v>
          </cell>
          <cell r="AG220">
            <v>-2224.8411999999998</v>
          </cell>
          <cell r="AH220">
            <v>-4017.0309999999999</v>
          </cell>
          <cell r="AI220">
            <v>-4882.1305300000004</v>
          </cell>
        </row>
        <row r="222">
          <cell r="A222" t="str">
            <v>TotalresYTD</v>
          </cell>
          <cell r="C222" t="str">
            <v>Periodens totalresultat</v>
          </cell>
          <cell r="E222">
            <v>65177.902349499047</v>
          </cell>
          <cell r="F222">
            <v>120636.24008614596</v>
          </cell>
          <cell r="G222">
            <v>181337.99859100382</v>
          </cell>
          <cell r="H222">
            <v>249559.35302475921</v>
          </cell>
          <cell r="I222">
            <v>99065</v>
          </cell>
          <cell r="J222">
            <v>203066</v>
          </cell>
          <cell r="K222">
            <v>296666</v>
          </cell>
          <cell r="L222">
            <v>414975.23771125404</v>
          </cell>
          <cell r="M222">
            <v>98236.185455813189</v>
          </cell>
          <cell r="N222">
            <v>192375.93824250015</v>
          </cell>
          <cell r="O222">
            <v>297836.54453553143</v>
          </cell>
          <cell r="P222">
            <v>398917.82471884374</v>
          </cell>
          <cell r="Q222">
            <v>103210.96480090257</v>
          </cell>
          <cell r="R222">
            <v>191761.05103091983</v>
          </cell>
          <cell r="S222">
            <v>280490.61645594885</v>
          </cell>
          <cell r="T222">
            <v>378541.88482408482</v>
          </cell>
          <cell r="U222">
            <v>105820.03650058458</v>
          </cell>
          <cell r="V222">
            <v>180762.75048691247</v>
          </cell>
          <cell r="W222">
            <v>282357.5945855708</v>
          </cell>
          <cell r="X222">
            <v>358511.27566941071</v>
          </cell>
          <cell r="Y222">
            <v>119595.50958079344</v>
          </cell>
          <cell r="Z222">
            <v>232704.99029917247</v>
          </cell>
          <cell r="AA222">
            <v>356001.15353171824</v>
          </cell>
          <cell r="AB222">
            <v>462046.15913355607</v>
          </cell>
          <cell r="AC222">
            <v>245861.76731484249</v>
          </cell>
          <cell r="AD222">
            <v>581789.49715391779</v>
          </cell>
          <cell r="AE222">
            <v>926030.15392985928</v>
          </cell>
          <cell r="AF222">
            <v>1483163.0098924316</v>
          </cell>
          <cell r="AG222">
            <v>629461.24355512206</v>
          </cell>
          <cell r="AH222">
            <v>1078300.2449675663</v>
          </cell>
          <cell r="AI222">
            <v>1558493.314994822</v>
          </cell>
        </row>
        <row r="224">
          <cell r="C224" t="str">
            <v>Koncernens resultaträkning (kSEK) - 4Q</v>
          </cell>
        </row>
        <row r="225">
          <cell r="C225" t="str">
            <v>Rörelsens intäkter</v>
          </cell>
        </row>
        <row r="226">
          <cell r="A226" t="str">
            <v>ProvisInt4Q</v>
          </cell>
          <cell r="C226" t="str">
            <v>Provisionsintäkter</v>
          </cell>
          <cell r="H226">
            <v>577118.69959999993</v>
          </cell>
          <cell r="I226">
            <v>640427.40158999991</v>
          </cell>
          <cell r="J226">
            <v>730753.75918000005</v>
          </cell>
          <cell r="K226">
            <v>796917.05066000018</v>
          </cell>
          <cell r="L226">
            <v>882301</v>
          </cell>
          <cell r="M226">
            <v>905407.95215000003</v>
          </cell>
          <cell r="N226">
            <v>915654.01968000014</v>
          </cell>
          <cell r="O226">
            <v>939160.11043000035</v>
          </cell>
          <cell r="P226">
            <v>934039.56807999872</v>
          </cell>
          <cell r="Q226">
            <v>957897.72000999865</v>
          </cell>
          <cell r="R226">
            <v>973283.4489399984</v>
          </cell>
          <cell r="S226">
            <v>982660.1802899983</v>
          </cell>
          <cell r="T226">
            <v>1022714.9517899994</v>
          </cell>
          <cell r="U226">
            <v>1065532.1258399994</v>
          </cell>
          <cell r="V226">
            <v>1088500.3153099995</v>
          </cell>
          <cell r="W226">
            <v>1137287.0075299975</v>
          </cell>
          <cell r="X226">
            <v>1139225.5651397998</v>
          </cell>
          <cell r="Y226">
            <v>1131778.4413798</v>
          </cell>
          <cell r="Z226">
            <v>1156470.1296698367</v>
          </cell>
          <cell r="AA226">
            <v>1190616.1190398</v>
          </cell>
          <cell r="AB226">
            <v>1227548.3099400001</v>
          </cell>
          <cell r="AC226">
            <v>1487429.863919999</v>
          </cell>
          <cell r="AD226">
            <v>1721526.7370799633</v>
          </cell>
          <cell r="AE226">
            <v>1982972.9847100019</v>
          </cell>
          <cell r="AF226">
            <v>2310484.4692399949</v>
          </cell>
          <cell r="AG226">
            <v>2772179.1071399935</v>
          </cell>
          <cell r="AI226">
            <v>3229131.4535599872</v>
          </cell>
        </row>
        <row r="227">
          <cell r="A227" t="str">
            <v>ProvisKostn4Q</v>
          </cell>
          <cell r="C227" t="str">
            <v>Provisionskostnader</v>
          </cell>
          <cell r="H227">
            <v>-90742.093125311701</v>
          </cell>
          <cell r="I227">
            <v>-97680.491897812695</v>
          </cell>
          <cell r="J227">
            <v>-107612.67512040969</v>
          </cell>
          <cell r="K227">
            <v>-117711.9430271118</v>
          </cell>
          <cell r="L227">
            <v>-126773.75357</v>
          </cell>
          <cell r="M227">
            <v>-132876.11140999981</v>
          </cell>
          <cell r="N227">
            <v>-140071.00484999991</v>
          </cell>
          <cell r="O227">
            <v>-142720.08462000301</v>
          </cell>
          <cell r="P227">
            <v>-143168.83213000299</v>
          </cell>
          <cell r="Q227">
            <v>-143688.43246000237</v>
          </cell>
          <cell r="R227">
            <v>-144156.0193900021</v>
          </cell>
          <cell r="S227">
            <v>-147019.20273999998</v>
          </cell>
          <cell r="T227">
            <v>-157331.36018999701</v>
          </cell>
          <cell r="U227">
            <v>-166934.95142999734</v>
          </cell>
          <cell r="V227">
            <v>-174887.94951999554</v>
          </cell>
          <cell r="W227">
            <v>-180908.25294999604</v>
          </cell>
          <cell r="X227">
            <v>-182956.0380100004</v>
          </cell>
          <cell r="Y227">
            <v>-186797.79628732443</v>
          </cell>
          <cell r="Z227">
            <v>-190698.4765855493</v>
          </cell>
          <cell r="AA227">
            <v>-198747.76673197109</v>
          </cell>
          <cell r="AB227">
            <v>-199968.45495999604</v>
          </cell>
          <cell r="AC227">
            <v>-219049.25249658898</v>
          </cell>
          <cell r="AD227">
            <v>-244932.15699531898</v>
          </cell>
          <cell r="AE227">
            <v>-274180.92695501447</v>
          </cell>
          <cell r="AF227">
            <v>-312269.93655269593</v>
          </cell>
          <cell r="AG227">
            <v>-371237.15926640853</v>
          </cell>
          <cell r="AI227">
            <v>-421833.40484634787</v>
          </cell>
        </row>
        <row r="228">
          <cell r="A228" t="str">
            <v>Ränteint4Q</v>
          </cell>
          <cell r="C228" t="str">
            <v>Ränteintäkter enligt effektivräntemetoden</v>
          </cell>
          <cell r="H228">
            <v>246506.41571999999</v>
          </cell>
          <cell r="I228">
            <v>231585.31861999998</v>
          </cell>
          <cell r="J228">
            <v>209887.31018999996</v>
          </cell>
          <cell r="K228">
            <v>200162.36588000003</v>
          </cell>
          <cell r="L228">
            <v>194066</v>
          </cell>
          <cell r="M228">
            <v>198252.59868</v>
          </cell>
          <cell r="N228">
            <v>202473.53089999998</v>
          </cell>
          <cell r="O228">
            <v>205937.24525999997</v>
          </cell>
          <cell r="P228">
            <v>211183.94102999996</v>
          </cell>
          <cell r="Q228">
            <v>212005.69809999998</v>
          </cell>
          <cell r="R228">
            <v>215393.73790999997</v>
          </cell>
          <cell r="S228">
            <v>218305.82257999998</v>
          </cell>
          <cell r="T228">
            <v>217933.34063999998</v>
          </cell>
          <cell r="U228">
            <v>215608.21039999995</v>
          </cell>
          <cell r="V228">
            <v>213222.29799999998</v>
          </cell>
          <cell r="W228">
            <v>212328.58223999999</v>
          </cell>
          <cell r="X228">
            <v>212097.28688</v>
          </cell>
          <cell r="Y228">
            <v>212165.14361000003</v>
          </cell>
          <cell r="Z228">
            <v>223022.36282999988</v>
          </cell>
          <cell r="AA228">
            <v>236946.36677999998</v>
          </cell>
          <cell r="AB228">
            <v>252600.7211900003</v>
          </cell>
          <cell r="AC228">
            <v>282532.39379000029</v>
          </cell>
          <cell r="AD228">
            <v>313089.79743000062</v>
          </cell>
          <cell r="AE228">
            <v>340020.2835000006</v>
          </cell>
          <cell r="AF228">
            <v>363802.39258000004</v>
          </cell>
          <cell r="AG228">
            <v>380563.78143000003</v>
          </cell>
          <cell r="AI228">
            <v>407993.66196999972</v>
          </cell>
        </row>
        <row r="229">
          <cell r="A229" t="str">
            <v>ÖvrRänteint4Q</v>
          </cell>
          <cell r="C229" t="str">
            <v>Övriga ränteintäkter</v>
          </cell>
          <cell r="H229">
            <v>0</v>
          </cell>
          <cell r="I229">
            <v>0</v>
          </cell>
          <cell r="J229">
            <v>0</v>
          </cell>
          <cell r="K229">
            <v>0</v>
          </cell>
          <cell r="L229">
            <v>0</v>
          </cell>
          <cell r="M229">
            <v>0</v>
          </cell>
          <cell r="N229">
            <v>0</v>
          </cell>
          <cell r="O229">
            <v>0</v>
          </cell>
          <cell r="P229">
            <v>0</v>
          </cell>
          <cell r="Q229">
            <v>0</v>
          </cell>
          <cell r="R229">
            <v>0</v>
          </cell>
          <cell r="S229">
            <v>0</v>
          </cell>
          <cell r="T229">
            <v>0</v>
          </cell>
          <cell r="U229">
            <v>183.39022999999997</v>
          </cell>
          <cell r="V229">
            <v>183.39022999999906</v>
          </cell>
          <cell r="W229">
            <v>308.39022000000114</v>
          </cell>
          <cell r="X229">
            <v>323.39921999999933</v>
          </cell>
          <cell r="Y229">
            <v>140.00898999999936</v>
          </cell>
          <cell r="Z229">
            <v>140.00899000000027</v>
          </cell>
          <cell r="AA229">
            <v>15.008999999998196</v>
          </cell>
          <cell r="AB229">
            <v>0</v>
          </cell>
          <cell r="AC229">
            <v>0</v>
          </cell>
          <cell r="AD229">
            <v>0</v>
          </cell>
          <cell r="AE229">
            <v>0</v>
          </cell>
          <cell r="AF229">
            <v>0</v>
          </cell>
          <cell r="AG229">
            <v>0</v>
          </cell>
          <cell r="AI229">
            <v>0</v>
          </cell>
        </row>
        <row r="230">
          <cell r="A230" t="str">
            <v>Räntekostn4Q</v>
          </cell>
          <cell r="C230" t="str">
            <v>Räntekostnader</v>
          </cell>
          <cell r="H230">
            <v>-54996.85398</v>
          </cell>
          <cell r="I230">
            <v>-46034.299220000001</v>
          </cell>
          <cell r="J230">
            <v>-40423.192670000004</v>
          </cell>
          <cell r="K230">
            <v>-47315.214049999995</v>
          </cell>
          <cell r="L230">
            <v>-55346</v>
          </cell>
          <cell r="M230">
            <v>-71333.365279999998</v>
          </cell>
          <cell r="N230">
            <v>-84772.071070000005</v>
          </cell>
          <cell r="O230">
            <v>-91767.88063</v>
          </cell>
          <cell r="P230">
            <v>-96915.168390000006</v>
          </cell>
          <cell r="Q230">
            <v>-100275.48167000001</v>
          </cell>
          <cell r="R230">
            <v>-103786.86309</v>
          </cell>
          <cell r="S230">
            <v>-106825.67459000001</v>
          </cell>
          <cell r="T230">
            <v>-110424.25214</v>
          </cell>
          <cell r="U230">
            <v>-114547.06404</v>
          </cell>
          <cell r="V230">
            <v>-116633.97742000001</v>
          </cell>
          <cell r="W230">
            <v>-116569.42613000001</v>
          </cell>
          <cell r="X230">
            <v>-121862.75150999983</v>
          </cell>
          <cell r="Y230">
            <v>-114144.19558999983</v>
          </cell>
          <cell r="Z230">
            <v>-105380.30347999986</v>
          </cell>
          <cell r="AA230">
            <v>-98925.973459999834</v>
          </cell>
          <cell r="AB230">
            <v>-87267.360599999985</v>
          </cell>
          <cell r="AC230">
            <v>-83802.817829999985</v>
          </cell>
          <cell r="AD230">
            <v>-82919.590479999984</v>
          </cell>
          <cell r="AE230">
            <v>-80992.498039999977</v>
          </cell>
          <cell r="AF230">
            <v>-80486.242719999995</v>
          </cell>
          <cell r="AG230">
            <v>-84529.273559999987</v>
          </cell>
          <cell r="AI230">
            <v>-96147.638470000005</v>
          </cell>
        </row>
        <row r="231">
          <cell r="A231" t="str">
            <v>NetFinTrans4Q</v>
          </cell>
          <cell r="C231" t="str">
            <v>Nettoresultat av finansiella transaktioner</v>
          </cell>
          <cell r="H231">
            <v>163.64570000000003</v>
          </cell>
          <cell r="I231">
            <v>943.46311000000003</v>
          </cell>
          <cell r="J231">
            <v>1443.7575100000004</v>
          </cell>
          <cell r="K231">
            <v>1531.1099100000001</v>
          </cell>
          <cell r="L231">
            <v>1563</v>
          </cell>
          <cell r="M231">
            <v>1078.6063300000001</v>
          </cell>
          <cell r="N231">
            <v>2858.0032999999999</v>
          </cell>
          <cell r="O231">
            <v>2966.2855700000005</v>
          </cell>
          <cell r="P231">
            <v>3482.6680099999999</v>
          </cell>
          <cell r="Q231">
            <v>3092.7819199999999</v>
          </cell>
          <cell r="R231">
            <v>1163.29601</v>
          </cell>
          <cell r="S231">
            <v>2700.076039999999</v>
          </cell>
          <cell r="T231">
            <v>2483.7256999999991</v>
          </cell>
          <cell r="U231">
            <v>2360.1623399999989</v>
          </cell>
          <cell r="V231">
            <v>1961.1859399999989</v>
          </cell>
          <cell r="W231">
            <v>373.00198999999975</v>
          </cell>
          <cell r="X231">
            <v>2027.5584699999984</v>
          </cell>
          <cell r="Y231">
            <v>1998.2665999999986</v>
          </cell>
          <cell r="Z231">
            <v>2002.6698599999982</v>
          </cell>
          <cell r="AA231">
            <v>1586.5433599999981</v>
          </cell>
          <cell r="AB231">
            <v>472.8107600000003</v>
          </cell>
          <cell r="AC231">
            <v>333.9603000000003</v>
          </cell>
          <cell r="AD231">
            <v>2224.5119099999997</v>
          </cell>
          <cell r="AE231">
            <v>3547.1187499999996</v>
          </cell>
          <cell r="AF231">
            <v>67185.015660000005</v>
          </cell>
          <cell r="AG231">
            <v>66831.357770000002</v>
          </cell>
          <cell r="AI231">
            <v>64120.392930000002</v>
          </cell>
        </row>
        <row r="232">
          <cell r="A232" t="str">
            <v>ÖvrRörInt4Q</v>
          </cell>
          <cell r="C232" t="str">
            <v>Övriga rörelseintäkter</v>
          </cell>
          <cell r="H232">
            <v>18.914000000000001</v>
          </cell>
          <cell r="I232">
            <v>18.914000000000001</v>
          </cell>
          <cell r="J232">
            <v>18.914000000000001</v>
          </cell>
          <cell r="K232">
            <v>0</v>
          </cell>
          <cell r="L232">
            <v>30</v>
          </cell>
          <cell r="M232">
            <v>30</v>
          </cell>
          <cell r="N232">
            <v>30.977</v>
          </cell>
          <cell r="O232">
            <v>31.219000000000001</v>
          </cell>
          <cell r="P232">
            <v>4.8500499999999995</v>
          </cell>
          <cell r="Q232">
            <v>4.8500499999999995</v>
          </cell>
          <cell r="R232">
            <v>15.827309999999999</v>
          </cell>
          <cell r="S232">
            <v>70.958309999999997</v>
          </cell>
          <cell r="T232">
            <v>120.53926</v>
          </cell>
          <cell r="U232">
            <v>120.53926</v>
          </cell>
          <cell r="V232">
            <v>110.075</v>
          </cell>
          <cell r="W232">
            <v>54.702000000000005</v>
          </cell>
          <cell r="X232">
            <v>141.91399999999999</v>
          </cell>
          <cell r="Y232">
            <v>197.41399999999999</v>
          </cell>
          <cell r="Z232">
            <v>195.92399999999998</v>
          </cell>
          <cell r="AA232">
            <v>202.36969999999997</v>
          </cell>
          <cell r="AB232">
            <v>63.909700000000001</v>
          </cell>
          <cell r="AC232">
            <v>8.4097000000000008</v>
          </cell>
          <cell r="AD232">
            <v>8.4097000000000008</v>
          </cell>
          <cell r="AE232">
            <v>1.9640000000000057</v>
          </cell>
          <cell r="AF232">
            <v>65.542400000000001</v>
          </cell>
          <cell r="AG232">
            <v>65.542400000000001</v>
          </cell>
          <cell r="AI232">
            <v>65.542400000000001</v>
          </cell>
        </row>
        <row r="233">
          <cell r="A233" t="str">
            <v>RörelsensInt4Q</v>
          </cell>
          <cell r="C233" t="str">
            <v>Summa rörelsens intäkter</v>
          </cell>
          <cell r="E233">
            <v>0</v>
          </cell>
          <cell r="F233">
            <v>0</v>
          </cell>
          <cell r="G233">
            <v>0</v>
          </cell>
          <cell r="H233">
            <v>678068.72791468818</v>
          </cell>
          <cell r="I233">
            <v>729260.30620218709</v>
          </cell>
          <cell r="J233">
            <v>794067.87308959034</v>
          </cell>
          <cell r="K233">
            <v>833583.36937288847</v>
          </cell>
          <cell r="L233">
            <v>895840.24643000006</v>
          </cell>
          <cell r="M233">
            <v>900559.68047000014</v>
          </cell>
          <cell r="N233">
            <v>896173.45496000024</v>
          </cell>
          <cell r="O233">
            <v>913606.8950099973</v>
          </cell>
          <cell r="P233">
            <v>908627.02664999571</v>
          </cell>
          <cell r="Q233">
            <v>929037.13594999618</v>
          </cell>
          <cell r="R233">
            <v>941913.4276899962</v>
          </cell>
          <cell r="S233">
            <v>949892.15988999826</v>
          </cell>
          <cell r="T233">
            <v>975496.94506000227</v>
          </cell>
          <cell r="U233">
            <v>1002322.4126000021</v>
          </cell>
          <cell r="V233">
            <v>1012455.3375400038</v>
          </cell>
          <cell r="W233">
            <v>1052874.0049000015</v>
          </cell>
          <cell r="X233">
            <v>1048996.9341897997</v>
          </cell>
          <cell r="Y233">
            <v>1045337.2827024758</v>
          </cell>
          <cell r="Z233">
            <v>1085752.3152842878</v>
          </cell>
          <cell r="AA233">
            <v>1131692.6676878291</v>
          </cell>
          <cell r="AB233">
            <v>1193449.9360300044</v>
          </cell>
          <cell r="AC233">
            <v>1467452.5573834102</v>
          </cell>
          <cell r="AD233">
            <v>1708997.7086446448</v>
          </cell>
          <cell r="AE233">
            <v>1971368.9259649878</v>
          </cell>
          <cell r="AF233">
            <v>2348781.2406072994</v>
          </cell>
          <cell r="AG233">
            <v>2763873.3559135851</v>
          </cell>
          <cell r="AI233">
            <v>3183330.0075436393</v>
          </cell>
        </row>
        <row r="234">
          <cell r="A234" t="str">
            <v>DeltaRörInt4Q</v>
          </cell>
          <cell r="C234" t="str">
            <v>Förändring rörelsens intäkter (Mot fg helår) - 4Q</v>
          </cell>
          <cell r="I234">
            <v>7.5496149844473726E-2</v>
          </cell>
          <cell r="J234">
            <v>0.1710728432081543</v>
          </cell>
          <cell r="K234">
            <v>0.2293493786927252</v>
          </cell>
          <cell r="L234">
            <v>0.32116437397878483</v>
          </cell>
          <cell r="M234">
            <v>5.2681647858616731E-3</v>
          </cell>
          <cell r="N234">
            <v>3.7195083758301273E-4</v>
          </cell>
          <cell r="O234">
            <v>1.9832384904338474E-2</v>
          </cell>
          <cell r="P234">
            <v>1.4273504981442864E-2</v>
          </cell>
          <cell r="Q234">
            <v>2.246258222722064E-2</v>
          </cell>
          <cell r="R234">
            <v>3.6633734264678086E-2</v>
          </cell>
          <cell r="S234">
            <v>4.5414820415525581E-2</v>
          </cell>
          <cell r="T234">
            <v>7.3594463348232386E-2</v>
          </cell>
          <cell r="U234">
            <v>2.7499284006829772E-2</v>
          </cell>
          <cell r="V234">
            <v>3.7886733184723909E-2</v>
          </cell>
          <cell r="W234">
            <v>7.9320658287904466E-2</v>
          </cell>
          <cell r="X234">
            <v>7.5346201238258637E-2</v>
          </cell>
          <cell r="Y234">
            <v>-3.4887151411462369E-3</v>
          </cell>
          <cell r="Z234">
            <v>3.5038597250883541E-2</v>
          </cell>
          <cell r="AA234">
            <v>7.8833150796479678E-2</v>
          </cell>
          <cell r="AB234">
            <v>0.13770583796012148</v>
          </cell>
          <cell r="AC234">
            <v>0.22958870169692402</v>
          </cell>
          <cell r="AD234">
            <v>0.43198106351205934</v>
          </cell>
          <cell r="AE234">
            <v>0.65182373089123513</v>
          </cell>
          <cell r="AF234">
            <v>0.9680601336495851</v>
          </cell>
          <cell r="AG234">
            <v>0.17672659681110181</v>
          </cell>
          <cell r="AI234">
            <v>0.35531140683010554</v>
          </cell>
        </row>
        <row r="236">
          <cell r="C236" t="str">
            <v>Rörelsens kostnader</v>
          </cell>
        </row>
        <row r="237">
          <cell r="A237" t="str">
            <v>AllmAdminKostn4Q</v>
          </cell>
          <cell r="C237" t="str">
            <v>Allmänna administrationskostnader</v>
          </cell>
          <cell r="H237">
            <v>-334151.29382859298</v>
          </cell>
          <cell r="I237">
            <v>-343009.73946559103</v>
          </cell>
          <cell r="J237">
            <v>-354580.45146747498</v>
          </cell>
          <cell r="K237">
            <v>-362967.94866738201</v>
          </cell>
          <cell r="L237">
            <v>-372098.76228874602</v>
          </cell>
          <cell r="M237">
            <v>-378093.21046793298</v>
          </cell>
          <cell r="N237">
            <v>-382411.82990291202</v>
          </cell>
          <cell r="O237">
            <v>-386223.45145487698</v>
          </cell>
          <cell r="P237">
            <v>-396874.398527816</v>
          </cell>
          <cell r="Q237">
            <v>-411889.86372272723</v>
          </cell>
          <cell r="R237">
            <v>-434800.05177606404</v>
          </cell>
          <cell r="S237">
            <v>-458607.51972906908</v>
          </cell>
          <cell r="T237">
            <v>-488923.48236069101</v>
          </cell>
          <cell r="U237">
            <v>-513840.05610600882</v>
          </cell>
          <cell r="V237">
            <v>-533561.51296136691</v>
          </cell>
          <cell r="W237">
            <v>-544191.86805773503</v>
          </cell>
          <cell r="X237">
            <v>-540853.03769038897</v>
          </cell>
          <cell r="Y237">
            <v>-541431.70593285596</v>
          </cell>
          <cell r="Z237">
            <v>-544386.31772261695</v>
          </cell>
          <cell r="AA237">
            <v>-550844.33296227094</v>
          </cell>
          <cell r="AB237">
            <v>-568871.28547644801</v>
          </cell>
          <cell r="AC237">
            <v>-582451.09909580508</v>
          </cell>
          <cell r="AD237">
            <v>-600345.52722634305</v>
          </cell>
          <cell r="AE237">
            <v>-620607.4457032911</v>
          </cell>
          <cell r="AF237">
            <v>-640398.31091582705</v>
          </cell>
          <cell r="AG237">
            <v>-660388.85437533399</v>
          </cell>
          <cell r="AI237">
            <v>-708696.69737114292</v>
          </cell>
        </row>
        <row r="238">
          <cell r="A238" t="str">
            <v>Avskr4Q</v>
          </cell>
          <cell r="C238" t="str">
            <v>Av- och nedskrivningar av materiella och immateriella anläggningstillgångar</v>
          </cell>
          <cell r="H238">
            <v>-7460.7646199999999</v>
          </cell>
          <cell r="I238">
            <v>-7297.5035799999996</v>
          </cell>
          <cell r="J238">
            <v>-7509.2302300000001</v>
          </cell>
          <cell r="K238">
            <v>-7681.1444699999993</v>
          </cell>
          <cell r="L238">
            <v>-8220</v>
          </cell>
          <cell r="M238">
            <v>-8614.6096899999993</v>
          </cell>
          <cell r="N238">
            <v>-8554.5186400000002</v>
          </cell>
          <cell r="O238">
            <v>-8290.7731300000014</v>
          </cell>
          <cell r="P238">
            <v>-8059.0044199999993</v>
          </cell>
          <cell r="Q238">
            <v>-7707.5864899999979</v>
          </cell>
          <cell r="R238">
            <v>-7777.666659999999</v>
          </cell>
          <cell r="S238">
            <v>-11078.303299999998</v>
          </cell>
          <cell r="T238">
            <v>-12103.937610000001</v>
          </cell>
          <cell r="U238">
            <v>-14844.326520000002</v>
          </cell>
          <cell r="V238">
            <v>-17645.547549999999</v>
          </cell>
          <cell r="W238">
            <v>-17458.939380000018</v>
          </cell>
          <cell r="X238">
            <v>-19656.599200000026</v>
          </cell>
          <cell r="Y238">
            <v>-28552.165800000024</v>
          </cell>
          <cell r="Z238">
            <v>-37389.75524000002</v>
          </cell>
          <cell r="AA238">
            <v>-46055.962310000003</v>
          </cell>
          <cell r="AB238">
            <v>-63125.238150000179</v>
          </cell>
          <cell r="AC238">
            <v>-63934.710260000174</v>
          </cell>
          <cell r="AD238">
            <v>-66908.89151000019</v>
          </cell>
          <cell r="AE238">
            <v>-72412.609440000175</v>
          </cell>
          <cell r="AF238">
            <v>-84189.470720000012</v>
          </cell>
          <cell r="AG238">
            <v>-86754.365660000054</v>
          </cell>
          <cell r="AI238">
            <v>-86008.069400000444</v>
          </cell>
        </row>
        <row r="239">
          <cell r="A239" t="str">
            <v>ÖvrRörKostn4Q</v>
          </cell>
          <cell r="C239" t="str">
            <v>Övriga rörelsekostnader</v>
          </cell>
          <cell r="H239">
            <v>-41127.933561336002</v>
          </cell>
          <cell r="I239">
            <v>-44640.594601336001</v>
          </cell>
          <cell r="J239">
            <v>-43450.474573501997</v>
          </cell>
          <cell r="K239">
            <v>-37217.947921751009</v>
          </cell>
          <cell r="L239">
            <v>-30679.246429999999</v>
          </cell>
          <cell r="M239">
            <v>-29385.952144999999</v>
          </cell>
          <cell r="N239">
            <v>-30546.486463334</v>
          </cell>
          <cell r="O239">
            <v>-30452.269178334998</v>
          </cell>
          <cell r="P239">
            <v>-38312.465983335998</v>
          </cell>
          <cell r="Q239">
            <v>-38305.214673335999</v>
          </cell>
          <cell r="R239">
            <v>-36553.417486668994</v>
          </cell>
          <cell r="S239">
            <v>-36076.408221667996</v>
          </cell>
          <cell r="T239">
            <v>-33808.522265226406</v>
          </cell>
          <cell r="U239">
            <v>-34212.379880226406</v>
          </cell>
          <cell r="V239">
            <v>-34246.92186855941</v>
          </cell>
          <cell r="W239">
            <v>-35387.913138559408</v>
          </cell>
          <cell r="X239">
            <v>-68804.060339999996</v>
          </cell>
          <cell r="Y239">
            <v>-71414.871580000006</v>
          </cell>
          <cell r="Z239">
            <v>-72354.938259999995</v>
          </cell>
          <cell r="AA239">
            <v>-71080.818289999996</v>
          </cell>
          <cell r="AB239">
            <v>-33525.571680000001</v>
          </cell>
          <cell r="AC239">
            <v>-33784.778380000003</v>
          </cell>
          <cell r="AD239">
            <v>-32507.176380000001</v>
          </cell>
          <cell r="AE239">
            <v>-35521.148180000004</v>
          </cell>
          <cell r="AF239">
            <v>-38005.066209999997</v>
          </cell>
          <cell r="AG239">
            <v>-38999.988336499497</v>
          </cell>
          <cell r="AI239">
            <v>-37681.155006061002</v>
          </cell>
        </row>
        <row r="240">
          <cell r="A240" t="str">
            <v>RörelsensKostn4Q</v>
          </cell>
          <cell r="C240" t="str">
            <v>Summa rörelsens kostnader före kreditförluster</v>
          </cell>
          <cell r="E240">
            <v>0</v>
          </cell>
          <cell r="F240">
            <v>0</v>
          </cell>
          <cell r="G240">
            <v>0</v>
          </cell>
          <cell r="H240">
            <v>-382739.99200992897</v>
          </cell>
          <cell r="I240">
            <v>-394947.83764692704</v>
          </cell>
          <cell r="J240">
            <v>-405540.15627097699</v>
          </cell>
          <cell r="K240">
            <v>-407867.04105913301</v>
          </cell>
          <cell r="L240">
            <v>-410998.00871874602</v>
          </cell>
          <cell r="M240">
            <v>-416093.77230293298</v>
          </cell>
          <cell r="N240">
            <v>-421512.83500624605</v>
          </cell>
          <cell r="O240">
            <v>-424966.49376321194</v>
          </cell>
          <cell r="P240">
            <v>-443245.86893115198</v>
          </cell>
          <cell r="Q240">
            <v>-457902.66488606326</v>
          </cell>
          <cell r="R240">
            <v>-479131.135922733</v>
          </cell>
          <cell r="S240">
            <v>-505762.23125073704</v>
          </cell>
          <cell r="T240">
            <v>-534835.94223591744</v>
          </cell>
          <cell r="U240">
            <v>-562896.76250623527</v>
          </cell>
          <cell r="V240">
            <v>-585453.98237992637</v>
          </cell>
          <cell r="W240">
            <v>-597038.72057629446</v>
          </cell>
          <cell r="X240">
            <v>-629313.69723038899</v>
          </cell>
          <cell r="Y240">
            <v>-641398.74331285607</v>
          </cell>
          <cell r="Z240">
            <v>-654131.01122261689</v>
          </cell>
          <cell r="AA240">
            <v>-667981.11356227088</v>
          </cell>
          <cell r="AB240">
            <v>-665522.09530644829</v>
          </cell>
          <cell r="AC240">
            <v>-680170.58773580531</v>
          </cell>
          <cell r="AD240">
            <v>-699761.59511634323</v>
          </cell>
          <cell r="AE240">
            <v>-728541.20332329127</v>
          </cell>
          <cell r="AF240">
            <v>-762592.847845827</v>
          </cell>
          <cell r="AG240">
            <v>-786143.20837183355</v>
          </cell>
          <cell r="AI240">
            <v>-832385.92177720426</v>
          </cell>
        </row>
        <row r="241">
          <cell r="A241" t="str">
            <v>DeltaRörKostn4Q</v>
          </cell>
          <cell r="C241" t="str">
            <v>Förändring rörelsens kostnader (Mot fg helår) - 4Q</v>
          </cell>
          <cell r="I241">
            <v>3.1895923843467511E-2</v>
          </cell>
          <cell r="J241">
            <v>5.9570896005182838E-2</v>
          </cell>
          <cell r="K241">
            <v>6.5650440439347202E-2</v>
          </cell>
          <cell r="L241">
            <v>7.3830844172886989E-2</v>
          </cell>
          <cell r="M241">
            <v>1.2398511613407992E-2</v>
          </cell>
          <cell r="N241">
            <v>2.5583642899582815E-2</v>
          </cell>
          <cell r="O241">
            <v>3.3986746281354341E-2</v>
          </cell>
          <cell r="P241">
            <v>7.8462327136173071E-2</v>
          </cell>
          <cell r="Q241">
            <v>3.3066965723233643E-2</v>
          </cell>
          <cell r="R241">
            <v>8.0960183742073255E-2</v>
          </cell>
          <cell r="S241">
            <v>0.14104217704349442</v>
          </cell>
          <cell r="T241">
            <v>0.20663491692686664</v>
          </cell>
          <cell r="U241">
            <v>5.2466220114167461E-2</v>
          </cell>
          <cell r="V241">
            <v>9.4642181175028872E-2</v>
          </cell>
          <cell r="W241">
            <v>0.11630253957939729</v>
          </cell>
          <cell r="X241">
            <v>0.17664810371475959</v>
          </cell>
          <cell r="Y241">
            <v>1.9203532571519411E-2</v>
          </cell>
          <cell r="Z241">
            <v>3.943552174606868E-2</v>
          </cell>
          <cell r="AA241">
            <v>6.1443786305712456E-2</v>
          </cell>
          <cell r="AB241">
            <v>5.7536326057120002E-2</v>
          </cell>
          <cell r="AC241">
            <v>2.2010527573260941E-2</v>
          </cell>
          <cell r="AD241">
            <v>5.1447577851083892E-2</v>
          </cell>
          <cell r="AE241">
            <v>9.4691233335874481E-2</v>
          </cell>
          <cell r="AF241">
            <v>0.14585654364289913</v>
          </cell>
          <cell r="AG241">
            <v>3.0881958298627721E-2</v>
          </cell>
          <cell r="AI241">
            <v>9.1520755968966583E-2</v>
          </cell>
        </row>
        <row r="243">
          <cell r="A243" t="str">
            <v>ResFKreditförl4Q</v>
          </cell>
          <cell r="C243" t="str">
            <v>Resultat före kreditförluster</v>
          </cell>
          <cell r="E243">
            <v>0</v>
          </cell>
          <cell r="F243">
            <v>0</v>
          </cell>
          <cell r="G243">
            <v>0</v>
          </cell>
          <cell r="H243">
            <v>295328.7359047592</v>
          </cell>
          <cell r="I243">
            <v>334312.46855526004</v>
          </cell>
          <cell r="J243">
            <v>388527.71681861335</v>
          </cell>
          <cell r="K243">
            <v>425716.32831375545</v>
          </cell>
          <cell r="L243">
            <v>484842.23771125404</v>
          </cell>
          <cell r="M243">
            <v>484465.90816706716</v>
          </cell>
          <cell r="N243">
            <v>474660.61995375418</v>
          </cell>
          <cell r="O243">
            <v>488640.40124678536</v>
          </cell>
          <cell r="P243">
            <v>465381.15771884372</v>
          </cell>
          <cell r="Q243">
            <v>471134.47106393293</v>
          </cell>
          <cell r="R243">
            <v>462782.2917672632</v>
          </cell>
          <cell r="S243">
            <v>444129.92863926123</v>
          </cell>
          <cell r="T243">
            <v>440661.00282408483</v>
          </cell>
          <cell r="U243">
            <v>439425.65009376686</v>
          </cell>
          <cell r="V243">
            <v>427001.35516007745</v>
          </cell>
          <cell r="W243">
            <v>455835.28432370699</v>
          </cell>
          <cell r="X243">
            <v>419683.23695941071</v>
          </cell>
          <cell r="Y243">
            <v>403938.53938961972</v>
          </cell>
          <cell r="Z243">
            <v>431621.3040616709</v>
          </cell>
          <cell r="AA243">
            <v>463711.55412555824</v>
          </cell>
          <cell r="AB243">
            <v>527927.84072355612</v>
          </cell>
          <cell r="AC243">
            <v>787281.96964760486</v>
          </cell>
          <cell r="AD243">
            <v>1009236.1135283016</v>
          </cell>
          <cell r="AE243">
            <v>1242827.7226416967</v>
          </cell>
          <cell r="AF243">
            <v>1586188.3927614724</v>
          </cell>
          <cell r="AG243">
            <v>1977730.1475417516</v>
          </cell>
          <cell r="AI243">
            <v>2350944.0857664351</v>
          </cell>
        </row>
        <row r="245">
          <cell r="A245" t="str">
            <v>KreditFörl4Q</v>
          </cell>
          <cell r="C245" t="str">
            <v>Kreditförluster, netto</v>
          </cell>
          <cell r="H245">
            <v>390.803</v>
          </cell>
          <cell r="I245">
            <v>403.81399999999996</v>
          </cell>
          <cell r="J245">
            <v>290.11200000000008</v>
          </cell>
          <cell r="K245">
            <v>153.38300000000004</v>
          </cell>
          <cell r="L245">
            <v>-216</v>
          </cell>
          <cell r="M245">
            <v>-246.101</v>
          </cell>
          <cell r="N245">
            <v>-251.74900000000002</v>
          </cell>
          <cell r="O245">
            <v>-375.67399999999998</v>
          </cell>
          <cell r="P245">
            <v>-504.995</v>
          </cell>
          <cell r="Q245">
            <v>-159.24</v>
          </cell>
          <cell r="R245">
            <v>130.96199999999999</v>
          </cell>
          <cell r="S245">
            <v>383.04399999999993</v>
          </cell>
          <cell r="T245">
            <v>390.65299999999996</v>
          </cell>
          <cell r="U245">
            <v>527.78881000000001</v>
          </cell>
          <cell r="V245">
            <v>-241.86718999999999</v>
          </cell>
          <cell r="W245">
            <v>-761.54519000000005</v>
          </cell>
          <cell r="X245">
            <v>-1160.976290000001</v>
          </cell>
          <cell r="Y245">
            <v>-2694.1931000000009</v>
          </cell>
          <cell r="Z245">
            <v>-341.26550000000339</v>
          </cell>
          <cell r="AA245">
            <v>-358.11054000000087</v>
          </cell>
          <cell r="AB245">
            <v>329.80080000000066</v>
          </cell>
          <cell r="AC245">
            <v>2033.8076300000005</v>
          </cell>
          <cell r="AD245">
            <v>-4585.4757499999969</v>
          </cell>
          <cell r="AE245">
            <v>-4541.9051799999988</v>
          </cell>
          <cell r="AF245">
            <v>-3871.4396299999999</v>
          </cell>
          <cell r="AG245">
            <v>-2959.030699999998</v>
          </cell>
          <cell r="AI245">
            <v>1037.4853800000001</v>
          </cell>
        </row>
        <row r="246">
          <cell r="A246" t="str">
            <v>AndIntressebol4Q</v>
          </cell>
          <cell r="C246" t="str">
            <v>Andelar i ägarintressens resultat</v>
          </cell>
          <cell r="H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cell r="X246">
            <v>-655.20000000000005</v>
          </cell>
          <cell r="Y246">
            <v>-2920.4459999999999</v>
          </cell>
          <cell r="Z246">
            <v>-5415.0389999999998</v>
          </cell>
          <cell r="AA246">
            <v>-7055.811999999999</v>
          </cell>
          <cell r="AB246">
            <v>-8241.9470000000001</v>
          </cell>
          <cell r="AC246">
            <v>-8369.7980000000007</v>
          </cell>
          <cell r="AD246">
            <v>-7970.4419999999991</v>
          </cell>
          <cell r="AE246">
            <v>-7669.5860000000002</v>
          </cell>
          <cell r="AF246">
            <v>-5828.2510000000002</v>
          </cell>
          <cell r="AG246">
            <v>-3435.154</v>
          </cell>
          <cell r="AI246">
            <v>0</v>
          </cell>
        </row>
        <row r="247">
          <cell r="A247" t="str">
            <v>Rörelseres4Q</v>
          </cell>
          <cell r="C247" t="str">
            <v>Rörelseresultat</v>
          </cell>
          <cell r="E247">
            <v>0</v>
          </cell>
          <cell r="F247">
            <v>0</v>
          </cell>
          <cell r="G247">
            <v>0</v>
          </cell>
          <cell r="H247">
            <v>295719.53890475922</v>
          </cell>
          <cell r="I247">
            <v>334716.28255526006</v>
          </cell>
          <cell r="J247">
            <v>388817.82881861337</v>
          </cell>
          <cell r="K247">
            <v>425869.71131375543</v>
          </cell>
          <cell r="L247">
            <v>484626.23771125404</v>
          </cell>
          <cell r="M247">
            <v>484219.80716706713</v>
          </cell>
          <cell r="N247">
            <v>474408.87095375417</v>
          </cell>
          <cell r="O247">
            <v>488264.72724678536</v>
          </cell>
          <cell r="P247">
            <v>464876.16271884373</v>
          </cell>
          <cell r="Q247">
            <v>470975.23106393294</v>
          </cell>
          <cell r="R247">
            <v>462913.2537672632</v>
          </cell>
          <cell r="S247">
            <v>444512.97263926122</v>
          </cell>
          <cell r="T247">
            <v>441051.65582408482</v>
          </cell>
          <cell r="U247">
            <v>439953.43890376686</v>
          </cell>
          <cell r="V247">
            <v>426759.48797007743</v>
          </cell>
          <cell r="W247">
            <v>455073.73913370701</v>
          </cell>
          <cell r="X247">
            <v>417867.06066941068</v>
          </cell>
          <cell r="Y247">
            <v>398323.90028961975</v>
          </cell>
          <cell r="Z247">
            <v>425864.99956167093</v>
          </cell>
          <cell r="AA247">
            <v>456297.63158555824</v>
          </cell>
          <cell r="AB247">
            <v>520015.6945235561</v>
          </cell>
          <cell r="AC247">
            <v>780945.97927760496</v>
          </cell>
          <cell r="AD247">
            <v>996680.19577830157</v>
          </cell>
          <cell r="AE247">
            <v>1230616.2314616968</v>
          </cell>
          <cell r="AF247">
            <v>1576488.7021314725</v>
          </cell>
          <cell r="AG247">
            <v>1971335.9628417515</v>
          </cell>
          <cell r="AI247">
            <v>2351981.5711464351</v>
          </cell>
        </row>
        <row r="248">
          <cell r="A248" t="str">
            <v>DeltaRörres4Q</v>
          </cell>
          <cell r="C248" t="str">
            <v>Förändring rörelseresultat (Mot fg helår) - 4Q</v>
          </cell>
          <cell r="I248">
            <v>0.13187070355557506</v>
          </cell>
          <cell r="J248">
            <v>0.31481954239025711</v>
          </cell>
          <cell r="K248">
            <v>0.44011353761414118</v>
          </cell>
          <cell r="L248">
            <v>0.63880357553017486</v>
          </cell>
          <cell r="M248">
            <v>-8.3864742054895469E-4</v>
          </cell>
          <cell r="N248">
            <v>-2.1082983054639071E-2</v>
          </cell>
          <cell r="O248">
            <v>7.5078261398202617E-3</v>
          </cell>
          <cell r="P248">
            <v>-4.0753210320770172E-2</v>
          </cell>
          <cell r="Q248">
            <v>1.3119770025244115E-2</v>
          </cell>
          <cell r="R248">
            <v>-4.2224340781432668E-3</v>
          </cell>
          <cell r="S248">
            <v>-4.380347222040315E-2</v>
          </cell>
          <cell r="T248">
            <v>-5.1249147203892953E-2</v>
          </cell>
          <cell r="U248">
            <v>-2.4899961394907466E-3</v>
          </cell>
          <cell r="V248">
            <v>-3.2404748208694767E-2</v>
          </cell>
          <cell r="W248">
            <v>3.1792383328484775E-2</v>
          </cell>
          <cell r="X248">
            <v>-5.2566620822122934E-2</v>
          </cell>
          <cell r="Y248">
            <v>-4.6768846408911435E-2</v>
          </cell>
          <cell r="Z248">
            <v>1.9139912295187411E-2</v>
          </cell>
          <cell r="AA248">
            <v>9.196841419992019E-2</v>
          </cell>
          <cell r="AB248">
            <v>0.24445246698915746</v>
          </cell>
          <cell r="AC248">
            <v>0.50177386471597929</v>
          </cell>
          <cell r="AD248">
            <v>0.91663483674559187</v>
          </cell>
          <cell r="AE248">
            <v>1.3664982507676049</v>
          </cell>
          <cell r="AF248">
            <v>2.0316175429587142</v>
          </cell>
          <cell r="AG248">
            <v>0.25045993680540213</v>
          </cell>
          <cell r="AI248">
            <v>0.49191146626453253</v>
          </cell>
        </row>
        <row r="250">
          <cell r="A250" t="str">
            <v>Skatt4Q</v>
          </cell>
          <cell r="C250" t="str">
            <v>Skatt på periodens resultat</v>
          </cell>
          <cell r="H250">
            <v>-46160.185880000012</v>
          </cell>
          <cell r="I250">
            <v>-51269.831880000012</v>
          </cell>
          <cell r="J250">
            <v>-56828.715880000011</v>
          </cell>
          <cell r="K250">
            <v>-60982.356880000021</v>
          </cell>
          <cell r="L250">
            <v>-69651</v>
          </cell>
          <cell r="M250">
            <v>-70073.383999999991</v>
          </cell>
          <cell r="N250">
            <v>-70123.695000000007</v>
          </cell>
          <cell r="O250">
            <v>-72118.945000000007</v>
          </cell>
          <cell r="P250">
            <v>-65958.337999999989</v>
          </cell>
          <cell r="Q250">
            <v>-67082.626999999993</v>
          </cell>
          <cell r="R250">
            <v>-64610.316259999992</v>
          </cell>
          <cell r="S250">
            <v>-62941.075999999994</v>
          </cell>
          <cell r="T250">
            <v>-62509.771000000001</v>
          </cell>
          <cell r="U250">
            <v>-60994.651010000001</v>
          </cell>
          <cell r="V250">
            <v>-57126.054740000007</v>
          </cell>
          <cell r="W250">
            <v>-67837.364170000015</v>
          </cell>
          <cell r="X250">
            <v>-68796.784999999989</v>
          </cell>
          <cell r="Y250">
            <v>-65872.987989999994</v>
          </cell>
          <cell r="Z250">
            <v>-71538.333029999994</v>
          </cell>
          <cell r="AA250">
            <v>-70547.308979999987</v>
          </cell>
          <cell r="AB250">
            <v>-73082.880150000026</v>
          </cell>
          <cell r="AC250">
            <v>-116284.59410000002</v>
          </cell>
          <cell r="AD250">
            <v>-152397.61512000003</v>
          </cell>
          <cell r="AE250">
            <v>-192963.22377000001</v>
          </cell>
          <cell r="AF250">
            <v>-241884.47688</v>
          </cell>
          <cell r="AG250">
            <v>-309782.72814000002</v>
          </cell>
          <cell r="AI250">
            <v>-370587.24722000002</v>
          </cell>
        </row>
        <row r="251">
          <cell r="A251" t="str">
            <v>PeriodensRes4Q</v>
          </cell>
          <cell r="C251" t="str">
            <v>Periodens resultat</v>
          </cell>
          <cell r="E251">
            <v>0</v>
          </cell>
          <cell r="F251">
            <v>0</v>
          </cell>
          <cell r="G251">
            <v>0</v>
          </cell>
          <cell r="H251">
            <v>249559.35302475921</v>
          </cell>
          <cell r="I251">
            <v>283446.45067526004</v>
          </cell>
          <cell r="J251">
            <v>331989.11293861334</v>
          </cell>
          <cell r="K251">
            <v>364887.35443375539</v>
          </cell>
          <cell r="L251">
            <v>414975.23771125404</v>
          </cell>
          <cell r="M251">
            <v>414146.42316706711</v>
          </cell>
          <cell r="N251">
            <v>404285.17595375417</v>
          </cell>
          <cell r="O251">
            <v>416145.78224678535</v>
          </cell>
          <cell r="P251">
            <v>398917.82471884374</v>
          </cell>
          <cell r="Q251">
            <v>403892.60406393296</v>
          </cell>
          <cell r="R251">
            <v>398302.93750726321</v>
          </cell>
          <cell r="S251">
            <v>381571.89663926122</v>
          </cell>
          <cell r="T251">
            <v>378541.88482408482</v>
          </cell>
          <cell r="U251">
            <v>378958.78789376689</v>
          </cell>
          <cell r="V251">
            <v>369633.43323007744</v>
          </cell>
          <cell r="W251">
            <v>387236.374963707</v>
          </cell>
          <cell r="X251">
            <v>349070.27566941071</v>
          </cell>
          <cell r="Y251">
            <v>332450.91229961975</v>
          </cell>
          <cell r="Z251">
            <v>354326.66653167096</v>
          </cell>
          <cell r="AA251">
            <v>385750.32260555826</v>
          </cell>
          <cell r="AB251">
            <v>446932.81437355606</v>
          </cell>
          <cell r="AC251">
            <v>664661.38517760497</v>
          </cell>
          <cell r="AD251">
            <v>844282.58065830148</v>
          </cell>
          <cell r="AE251">
            <v>1037653.0076916968</v>
          </cell>
          <cell r="AF251">
            <v>1334604.2252514726</v>
          </cell>
          <cell r="AG251">
            <v>1661553.2347017515</v>
          </cell>
          <cell r="AI251">
            <v>1981394.3239264351</v>
          </cell>
        </row>
        <row r="252">
          <cell r="A252" t="str">
            <v>DeltaPerres4Q</v>
          </cell>
          <cell r="C252" t="str">
            <v>Förändring periodens resultat (Mot fg helår) - 4Q</v>
          </cell>
          <cell r="I252">
            <v>0.13578772840919662</v>
          </cell>
          <cell r="J252">
            <v>0.33030122459756539</v>
          </cell>
          <cell r="K252">
            <v>0.46212654429166711</v>
          </cell>
          <cell r="L252">
            <v>0.66283183812423019</v>
          </cell>
          <cell r="M252">
            <v>-1.997262652967291E-3</v>
          </cell>
          <cell r="N252">
            <v>-2.576072205286184E-2</v>
          </cell>
          <cell r="O252">
            <v>2.8207575516729921E-3</v>
          </cell>
          <cell r="P252">
            <v>-3.869487027942442E-2</v>
          </cell>
          <cell r="Q252">
            <v>1.2470687035846195E-2</v>
          </cell>
          <cell r="R252">
            <v>-1.5413881593631107E-3</v>
          </cell>
          <cell r="S252">
            <v>-4.3482459305517085E-2</v>
          </cell>
          <cell r="T252">
            <v>-5.1078038212806987E-2</v>
          </cell>
          <cell r="U252">
            <v>1.1013393402312666E-3</v>
          </cell>
          <cell r="V252">
            <v>-2.3533595491413872E-2</v>
          </cell>
          <cell r="W252">
            <v>2.2968370180918463E-2</v>
          </cell>
          <cell r="X252">
            <v>-7.7855609474682286E-2</v>
          </cell>
          <cell r="Y252">
            <v>-4.7610365385365672E-2</v>
          </cell>
          <cell r="Z252">
            <v>1.5058259693352838E-2</v>
          </cell>
          <cell r="AA252">
            <v>0.105079261950352</v>
          </cell>
          <cell r="AB252">
            <v>0.28035196785654337</v>
          </cell>
          <cell r="AC252">
            <v>0.48716174736291951</v>
          </cell>
          <cell r="AD252">
            <v>0.88905928028956938</v>
          </cell>
          <cell r="AE252">
            <v>1.3217203443567338</v>
          </cell>
          <cell r="AF252">
            <v>1.9861406062164448</v>
          </cell>
          <cell r="AG252">
            <v>0.24497825142781449</v>
          </cell>
          <cell r="AI252">
            <v>0.48463063913430315</v>
          </cell>
        </row>
        <row r="254">
          <cell r="A254" t="str">
            <v>RPA4Q</v>
          </cell>
          <cell r="C254" t="str">
            <v>Resultat per aktie, SEK</v>
          </cell>
          <cell r="E254">
            <v>0</v>
          </cell>
          <cell r="F254">
            <v>0</v>
          </cell>
          <cell r="G254">
            <v>0</v>
          </cell>
          <cell r="H254">
            <v>1.7286246431733243</v>
          </cell>
          <cell r="I254">
            <v>1.9633506567419883</v>
          </cell>
          <cell r="J254">
            <v>2.2947507308420705</v>
          </cell>
          <cell r="K254">
            <v>2.5118559053507541</v>
          </cell>
          <cell r="L254">
            <v>2.8450477359042612</v>
          </cell>
          <cell r="M254">
            <v>2.8281071512853746</v>
          </cell>
          <cell r="N254">
            <v>2.7491757175573119</v>
          </cell>
          <cell r="O254">
            <v>2.8179115993399897</v>
          </cell>
          <cell r="P254">
            <v>2.6899251618061246</v>
          </cell>
          <cell r="Q254">
            <v>2.7122337937040255</v>
          </cell>
          <cell r="R254">
            <v>2.6696871790962367</v>
          </cell>
          <cell r="S254">
            <v>2.556587447113138</v>
          </cell>
          <cell r="T254">
            <v>2.5329215866672632</v>
          </cell>
          <cell r="U254">
            <v>2.5324250021011685</v>
          </cell>
          <cell r="V254">
            <v>2.4668750063706075</v>
          </cell>
          <cell r="W254">
            <v>2.5801422447965194</v>
          </cell>
          <cell r="X254">
            <v>2.3204498833886902</v>
          </cell>
          <cell r="Y254">
            <v>2.1963528968168182</v>
          </cell>
          <cell r="Z254">
            <v>2.3446956868653404</v>
          </cell>
          <cell r="AA254">
            <v>2.5461346499319295</v>
          </cell>
          <cell r="AB254">
            <v>2.9381322475841745</v>
          </cell>
          <cell r="AC254">
            <v>4.3523112408770839</v>
          </cell>
          <cell r="AD254">
            <v>5.5067914105324745</v>
          </cell>
          <cell r="AE254">
            <v>6.744290518793342</v>
          </cell>
          <cell r="AF254">
            <v>8.6578266751912807</v>
          </cell>
          <cell r="AG254">
            <v>10.758641264309844</v>
          </cell>
          <cell r="AI254">
            <v>12.878196134731764</v>
          </cell>
        </row>
        <row r="255">
          <cell r="A255" t="str">
            <v>DeltaRPA4Q</v>
          </cell>
          <cell r="C255" t="str">
            <v>Förändring resultat per aktie (Mot fg helår) - 4Q</v>
          </cell>
          <cell r="I255">
            <v>0.13578772840919662</v>
          </cell>
          <cell r="J255">
            <v>0.32750087759334479</v>
          </cell>
          <cell r="K255">
            <v>0.45309504597806272</v>
          </cell>
          <cell r="L255">
            <v>0.64584471657274434</v>
          </cell>
          <cell r="M255">
            <v>-5.9544113812566302E-3</v>
          </cell>
          <cell r="N255">
            <v>-3.3697859314292922E-2</v>
          </cell>
          <cell r="O255">
            <v>-9.538025046756049E-3</v>
          </cell>
          <cell r="P255">
            <v>-5.4523715767754166E-2</v>
          </cell>
          <cell r="Q255">
            <v>8.293402439093045E-3</v>
          </cell>
          <cell r="R255">
            <v>-7.5236229606846505E-3</v>
          </cell>
          <cell r="S255">
            <v>-4.9569302739804977E-2</v>
          </cell>
          <cell r="T255">
            <v>-5.8367265144820157E-2</v>
          </cell>
          <cell r="U255">
            <v>-1.9605208811379615E-4</v>
          </cell>
          <cell r="V255">
            <v>-2.6075256590772589E-2</v>
          </cell>
          <cell r="W255">
            <v>1.8642763509859606E-2</v>
          </cell>
          <cell r="X255">
            <v>-8.3884042994847086E-2</v>
          </cell>
          <cell r="Y255">
            <v>-5.3479709887397253E-2</v>
          </cell>
          <cell r="Z255">
            <v>1.0448751188387062E-2</v>
          </cell>
          <cell r="AA255">
            <v>9.7259056598825833E-2</v>
          </cell>
          <cell r="AB255">
            <v>0.26619077990749207</v>
          </cell>
          <cell r="AC255">
            <v>0.48131904016767524</v>
          </cell>
          <cell r="AD255">
            <v>0.87424899442846149</v>
          </cell>
          <cell r="AE255">
            <v>1.2954346334610061</v>
          </cell>
          <cell r="AF255">
            <v>1.9467110210270557</v>
          </cell>
          <cell r="AG255">
            <v>0.24264918529015822</v>
          </cell>
          <cell r="AI255">
            <v>0.48746291856752166</v>
          </cell>
        </row>
        <row r="256">
          <cell r="A256" t="str">
            <v>RPAeUtsp4Q</v>
          </cell>
          <cell r="C256" t="str">
            <v>Resultat per aktie efter utspädning, SEK</v>
          </cell>
          <cell r="E256">
            <v>0</v>
          </cell>
          <cell r="F256">
            <v>0</v>
          </cell>
          <cell r="G256">
            <v>0</v>
          </cell>
          <cell r="H256">
            <v>1.7128722669605312</v>
          </cell>
          <cell r="I256">
            <v>1.9433154552932475</v>
          </cell>
          <cell r="J256">
            <v>2.2794848557874285</v>
          </cell>
          <cell r="K256">
            <v>2.49321294504005</v>
          </cell>
          <cell r="L256">
            <v>2.8190026364095249</v>
          </cell>
          <cell r="M256">
            <v>2.8000937493352556</v>
          </cell>
          <cell r="N256">
            <v>2.745993966847931</v>
          </cell>
          <cell r="O256">
            <v>2.815726745930192</v>
          </cell>
          <cell r="P256">
            <v>2.6879680377081492</v>
          </cell>
          <cell r="Q256">
            <v>2.7088822990062842</v>
          </cell>
          <cell r="R256">
            <v>2.6653635139838401</v>
          </cell>
          <cell r="S256">
            <v>2.556587447113138</v>
          </cell>
          <cell r="T256">
            <v>2.5329215866672632</v>
          </cell>
          <cell r="U256">
            <v>2.5324250021011685</v>
          </cell>
          <cell r="V256">
            <v>2.4657294097365519</v>
          </cell>
          <cell r="W256">
            <v>2.5771227680795254</v>
          </cell>
          <cell r="X256">
            <v>2.3143688272092886</v>
          </cell>
          <cell r="Y256">
            <v>2.194262857166775</v>
          </cell>
          <cell r="Z256">
            <v>2.3409558404209534</v>
          </cell>
          <cell r="AA256">
            <v>2.5461346499319295</v>
          </cell>
          <cell r="AB256">
            <v>2.9381322475841745</v>
          </cell>
          <cell r="AC256">
            <v>4.3523112408770839</v>
          </cell>
          <cell r="AD256">
            <v>5.4980786241345987</v>
          </cell>
          <cell r="AE256">
            <v>6.7115735007117543</v>
          </cell>
          <cell r="AF256">
            <v>8.5781912092632897</v>
          </cell>
          <cell r="AG256">
            <v>10.613474722310389</v>
          </cell>
          <cell r="AI256">
            <v>12.815723117796303</v>
          </cell>
        </row>
        <row r="257">
          <cell r="A257" t="str">
            <v>SnittAntAkt4Q</v>
          </cell>
          <cell r="C257" t="str">
            <v>Genomsnittligt antal aktier före utspädning, tusental</v>
          </cell>
          <cell r="E257">
            <v>144368735</v>
          </cell>
          <cell r="F257">
            <v>144368735</v>
          </cell>
          <cell r="G257">
            <v>144368735</v>
          </cell>
          <cell r="H257">
            <v>144368735</v>
          </cell>
          <cell r="I257">
            <v>144368735</v>
          </cell>
          <cell r="J257">
            <v>144673279.0958904</v>
          </cell>
          <cell r="K257">
            <v>145266037.61643833</v>
          </cell>
          <cell r="L257">
            <v>145858796.13698629</v>
          </cell>
          <cell r="M257">
            <v>146439438.46994537</v>
          </cell>
          <cell r="N257">
            <v>147056869.94535521</v>
          </cell>
          <cell r="O257">
            <v>147678792.45901641</v>
          </cell>
          <cell r="P257">
            <v>148300714.97267759</v>
          </cell>
          <cell r="Q257">
            <v>148915113.80821916</v>
          </cell>
          <cell r="R257">
            <v>149194610</v>
          </cell>
          <cell r="S257">
            <v>149250477.26027396</v>
          </cell>
          <cell r="T257">
            <v>149448718.35616437</v>
          </cell>
          <cell r="U257">
            <v>149642649.86301368</v>
          </cell>
          <cell r="V257">
            <v>149838736.16438356</v>
          </cell>
          <cell r="W257">
            <v>150083343.56164384</v>
          </cell>
          <cell r="X257">
            <v>150432154.63013697</v>
          </cell>
          <cell r="Y257">
            <v>151364980</v>
          </cell>
          <cell r="Z257">
            <v>151118402.49315068</v>
          </cell>
          <cell r="AA257">
            <v>151504290.08767122</v>
          </cell>
          <cell r="AB257">
            <v>152114600.94794521</v>
          </cell>
          <cell r="AC257">
            <v>152714580.45901638</v>
          </cell>
          <cell r="AD257">
            <v>153316608.11475411</v>
          </cell>
          <cell r="AE257">
            <v>153856510.89617488</v>
          </cell>
          <cell r="AF257">
            <v>154150028.09836066</v>
          </cell>
          <cell r="AG257">
            <v>154438947.62191778</v>
          </cell>
          <cell r="AI257">
            <v>153856510.89617488</v>
          </cell>
        </row>
        <row r="258">
          <cell r="A258" t="str">
            <v>SnittAntAktEUtsp4Q</v>
          </cell>
          <cell r="C258" t="str">
            <v>Genomsnittligt antal aktier efter utspädning, tusental</v>
          </cell>
          <cell r="E258">
            <v>144610186.98566672</v>
          </cell>
          <cell r="F258">
            <v>145138056.39998409</v>
          </cell>
          <cell r="G258">
            <v>145579692.91911575</v>
          </cell>
          <cell r="H258">
            <v>145696417.55459028</v>
          </cell>
          <cell r="I258">
            <v>145857148.3611691</v>
          </cell>
          <cell r="J258">
            <v>145642166.51657927</v>
          </cell>
          <cell r="K258">
            <v>146352262.11208928</v>
          </cell>
          <cell r="L258">
            <v>147206402.84316832</v>
          </cell>
          <cell r="M258">
            <v>147904484.72140828</v>
          </cell>
          <cell r="N258">
            <v>147227263.00008032</v>
          </cell>
          <cell r="O258">
            <v>147793383.30620188</v>
          </cell>
          <cell r="P258">
            <v>148408693.52709058</v>
          </cell>
          <cell r="Q258">
            <v>149099355.1887047</v>
          </cell>
          <cell r="R258">
            <v>149436628.59402302</v>
          </cell>
          <cell r="S258">
            <v>149250477.26027396</v>
          </cell>
          <cell r="T258">
            <v>149448718.35616437</v>
          </cell>
          <cell r="U258">
            <v>149642649.86301368</v>
          </cell>
          <cell r="V258">
            <v>149908352.38063309</v>
          </cell>
          <cell r="W258">
            <v>150259188.17685038</v>
          </cell>
          <cell r="X258">
            <v>150827418.5019708</v>
          </cell>
          <cell r="Y258">
            <v>151509155.43859649</v>
          </cell>
          <cell r="Z258">
            <v>151359825.08237126</v>
          </cell>
          <cell r="AA258">
            <v>151504290.08767122</v>
          </cell>
          <cell r="AB258">
            <v>152114600.94794521</v>
          </cell>
          <cell r="AC258">
            <v>152714580.45901638</v>
          </cell>
          <cell r="AD258">
            <v>153559568.41944802</v>
          </cell>
          <cell r="AE258">
            <v>154606517.76839736</v>
          </cell>
          <cell r="AF258">
            <v>155581076.79044038</v>
          </cell>
          <cell r="AG258">
            <v>156551297.11752468</v>
          </cell>
          <cell r="AI258">
            <v>154606517.76839736</v>
          </cell>
        </row>
        <row r="259">
          <cell r="A259" t="str">
            <v>UtestAntAkt4Q</v>
          </cell>
          <cell r="C259" t="str">
            <v>Utestående antal aktier före utspädning, tusental</v>
          </cell>
          <cell r="E259">
            <v>144368735</v>
          </cell>
          <cell r="F259">
            <v>144368735</v>
          </cell>
          <cell r="G259">
            <v>144368735</v>
          </cell>
          <cell r="H259">
            <v>144368735</v>
          </cell>
          <cell r="I259">
            <v>144368735</v>
          </cell>
          <cell r="J259">
            <v>146720440</v>
          </cell>
          <cell r="K259">
            <v>146720440</v>
          </cell>
          <cell r="L259">
            <v>146720440</v>
          </cell>
          <cell r="M259">
            <v>146720440</v>
          </cell>
          <cell r="N259">
            <v>149194610</v>
          </cell>
          <cell r="O259">
            <v>149194610</v>
          </cell>
          <cell r="P259">
            <v>149194610</v>
          </cell>
          <cell r="Q259">
            <v>149194610</v>
          </cell>
          <cell r="R259">
            <v>149194610</v>
          </cell>
          <cell r="S259">
            <v>149981110</v>
          </cell>
          <cell r="T259">
            <v>149981110</v>
          </cell>
          <cell r="U259">
            <v>149981110</v>
          </cell>
          <cell r="V259">
            <v>149981110</v>
          </cell>
          <cell r="W259">
            <v>151364980</v>
          </cell>
          <cell r="X259">
            <v>151364980</v>
          </cell>
          <cell r="Y259">
            <v>151364980</v>
          </cell>
          <cell r="Z259">
            <v>151364980</v>
          </cell>
          <cell r="AA259">
            <v>153786322</v>
          </cell>
          <cell r="AB259">
            <v>153786322</v>
          </cell>
          <cell r="AC259">
            <v>153786322</v>
          </cell>
          <cell r="AD259">
            <v>153786322</v>
          </cell>
          <cell r="AE259">
            <v>154954010</v>
          </cell>
          <cell r="AF259">
            <v>154954010</v>
          </cell>
          <cell r="AG259">
            <v>154954010</v>
          </cell>
          <cell r="AI259">
            <v>155571758</v>
          </cell>
        </row>
        <row r="260">
          <cell r="A260" t="str">
            <v>UtestAntAktEUtsp4Q</v>
          </cell>
          <cell r="C260" t="str">
            <v>Utestående antal aktier efter utspädning, tusental</v>
          </cell>
          <cell r="E260">
            <v>145717664.57746479</v>
          </cell>
          <cell r="F260">
            <v>146117160</v>
          </cell>
          <cell r="G260">
            <v>145644747.32032853</v>
          </cell>
          <cell r="H260">
            <v>145848421.04651162</v>
          </cell>
          <cell r="I260">
            <v>146332159.29284525</v>
          </cell>
          <cell r="J260">
            <v>147788526.23548922</v>
          </cell>
          <cell r="K260">
            <v>148148215.83697233</v>
          </cell>
          <cell r="L260">
            <v>148374973.33333331</v>
          </cell>
          <cell r="M260">
            <v>148325663.75690609</v>
          </cell>
          <cell r="N260">
            <v>149241941.26934984</v>
          </cell>
          <cell r="O260">
            <v>149355341.56342182</v>
          </cell>
          <cell r="P260">
            <v>149541460.94850948</v>
          </cell>
          <cell r="Q260">
            <v>149341071.85811815</v>
          </cell>
          <cell r="R260">
            <v>149535172.65289482</v>
          </cell>
          <cell r="S260">
            <v>149981110</v>
          </cell>
          <cell r="T260">
            <v>149981110</v>
          </cell>
          <cell r="U260">
            <v>150651015.72467062</v>
          </cell>
          <cell r="V260">
            <v>150929941.52173913</v>
          </cell>
          <cell r="W260">
            <v>151542193.43873519</v>
          </cell>
          <cell r="X260">
            <v>151643063.09726155</v>
          </cell>
          <cell r="Y260">
            <v>151509155.43859649</v>
          </cell>
          <cell r="Z260">
            <v>151364980</v>
          </cell>
          <cell r="AA260">
            <v>153786322</v>
          </cell>
          <cell r="AB260">
            <v>154125294.39263803</v>
          </cell>
          <cell r="AC260">
            <v>153786322</v>
          </cell>
          <cell r="AD260">
            <v>155745063.49659866</v>
          </cell>
          <cell r="AE260">
            <v>156949829.11262798</v>
          </cell>
          <cell r="AF260">
            <v>157940329.74248925</v>
          </cell>
          <cell r="AG260">
            <v>158472847.50921151</v>
          </cell>
          <cell r="AI260">
            <v>157972266.72093025</v>
          </cell>
        </row>
        <row r="261">
          <cell r="A261" t="str">
            <v>AntAktFullUtsp4Q</v>
          </cell>
          <cell r="C261" t="str">
            <v>Antal aktier vid full utspädning, tusental</v>
          </cell>
          <cell r="E261">
            <v>151718735</v>
          </cell>
          <cell r="F261">
            <v>149268735</v>
          </cell>
          <cell r="G261">
            <v>151718735</v>
          </cell>
          <cell r="H261">
            <v>151718735</v>
          </cell>
          <cell r="I261">
            <v>151718735</v>
          </cell>
          <cell r="J261">
            <v>151620440</v>
          </cell>
          <cell r="K261">
            <v>154070440</v>
          </cell>
          <cell r="L261">
            <v>154070440</v>
          </cell>
          <cell r="M261">
            <v>154070440</v>
          </cell>
          <cell r="N261">
            <v>154094610</v>
          </cell>
          <cell r="O261">
            <v>156544610</v>
          </cell>
          <cell r="P261">
            <v>156544610</v>
          </cell>
          <cell r="Q261">
            <v>156544610</v>
          </cell>
          <cell r="R261">
            <v>156544610</v>
          </cell>
          <cell r="S261">
            <v>157131110</v>
          </cell>
          <cell r="T261">
            <v>157131110</v>
          </cell>
          <cell r="U261">
            <v>157131110</v>
          </cell>
          <cell r="V261">
            <v>157131110</v>
          </cell>
          <cell r="W261">
            <v>158314980</v>
          </cell>
          <cell r="X261">
            <v>158314980</v>
          </cell>
          <cell r="Y261">
            <v>158314980</v>
          </cell>
          <cell r="Z261">
            <v>158314980</v>
          </cell>
          <cell r="AA261">
            <v>160536322</v>
          </cell>
          <cell r="AB261">
            <v>160536322</v>
          </cell>
          <cell r="AC261">
            <v>160536322</v>
          </cell>
          <cell r="AD261">
            <v>160536322</v>
          </cell>
          <cell r="AE261">
            <v>161704010</v>
          </cell>
          <cell r="AF261">
            <v>161704010</v>
          </cell>
          <cell r="AG261">
            <v>161704010</v>
          </cell>
          <cell r="AI261">
            <v>161271758</v>
          </cell>
        </row>
        <row r="263">
          <cell r="C263" t="str">
            <v>Övrigt totalresultat</v>
          </cell>
        </row>
        <row r="264">
          <cell r="A264" t="str">
            <v>VärdeförändrFinTillg4Q</v>
          </cell>
          <cell r="C264" t="str">
            <v>Värdeförändringar av finansiella tillgångar som kan säljas</v>
          </cell>
          <cell r="H264">
            <v>0</v>
          </cell>
          <cell r="I264">
            <v>0</v>
          </cell>
          <cell r="J264">
            <v>0</v>
          </cell>
          <cell r="K264">
            <v>0</v>
          </cell>
          <cell r="L264">
            <v>0</v>
          </cell>
          <cell r="M264">
            <v>0</v>
          </cell>
          <cell r="N264">
            <v>0</v>
          </cell>
          <cell r="O264">
            <v>0</v>
          </cell>
          <cell r="P264">
            <v>0</v>
          </cell>
          <cell r="Q264">
            <v>0</v>
          </cell>
          <cell r="R264">
            <v>0</v>
          </cell>
          <cell r="S264">
            <v>0</v>
          </cell>
          <cell r="T264">
            <v>0</v>
          </cell>
          <cell r="U264">
            <v>2810.4724700000002</v>
          </cell>
          <cell r="V264">
            <v>-2679.2935299999995</v>
          </cell>
          <cell r="W264">
            <v>-8753.2205300000005</v>
          </cell>
          <cell r="X264">
            <v>-38896</v>
          </cell>
          <cell r="Y264">
            <v>-247.17847000010079</v>
          </cell>
          <cell r="Z264">
            <v>20521.293529999995</v>
          </cell>
          <cell r="AA264">
            <v>8198.2205299999987</v>
          </cell>
          <cell r="AB264">
            <v>19228.173999999999</v>
          </cell>
          <cell r="AC264">
            <v>-97136.091999999888</v>
          </cell>
          <cell r="AD264">
            <v>-42178.095000000016</v>
          </cell>
          <cell r="AE264">
            <v>-7096.5320000000065</v>
          </cell>
          <cell r="AF264">
            <v>18359.511999999995</v>
          </cell>
          <cell r="AG264">
            <v>90462.416999999987</v>
          </cell>
          <cell r="AI264">
            <v>194.43899999999849</v>
          </cell>
        </row>
        <row r="265">
          <cell r="A265" t="str">
            <v>SkattVärdeförändr4Q</v>
          </cell>
          <cell r="C265" t="str">
            <v>Skatt på värdeförändringar av tillgångar som kan säljas</v>
          </cell>
          <cell r="H265">
            <v>0</v>
          </cell>
          <cell r="I265">
            <v>0</v>
          </cell>
          <cell r="J265">
            <v>0</v>
          </cell>
          <cell r="K265">
            <v>0</v>
          </cell>
          <cell r="L265">
            <v>0</v>
          </cell>
          <cell r="M265">
            <v>0</v>
          </cell>
          <cell r="N265">
            <v>0</v>
          </cell>
          <cell r="O265">
            <v>0</v>
          </cell>
          <cell r="P265">
            <v>0</v>
          </cell>
          <cell r="Q265">
            <v>0</v>
          </cell>
          <cell r="R265">
            <v>0</v>
          </cell>
          <cell r="S265">
            <v>0</v>
          </cell>
          <cell r="T265">
            <v>0</v>
          </cell>
          <cell r="U265">
            <v>-618.30384000000004</v>
          </cell>
          <cell r="V265">
            <v>589.44457999999986</v>
          </cell>
          <cell r="W265">
            <v>1925.7085199999997</v>
          </cell>
          <cell r="X265">
            <v>8557</v>
          </cell>
          <cell r="Y265">
            <v>303.01491999999962</v>
          </cell>
          <cell r="Z265">
            <v>-4174.4445800000003</v>
          </cell>
          <cell r="AA265">
            <v>-1573.7085200000001</v>
          </cell>
          <cell r="AB265">
            <v>-4114.82924</v>
          </cell>
          <cell r="AC265">
            <v>20787.12369</v>
          </cell>
          <cell r="AD265">
            <v>9026.180330000001</v>
          </cell>
          <cell r="AE265">
            <v>1518.6838400000001</v>
          </cell>
          <cell r="AF265">
            <v>-3928.935570000001</v>
          </cell>
          <cell r="AG265">
            <v>-19381.373780000002</v>
          </cell>
          <cell r="AI265">
            <v>-90.800180000000182</v>
          </cell>
        </row>
        <row r="266">
          <cell r="A266" t="str">
            <v>VärdeförändrAktInneQ4</v>
          </cell>
          <cell r="C266" t="str">
            <v>Värdeförändringar av aktier och innehav</v>
          </cell>
          <cell r="AF266">
            <v>144128.061558785</v>
          </cell>
        </row>
        <row r="267">
          <cell r="A267" t="str">
            <v>SkattförändrAktInneQ4</v>
          </cell>
          <cell r="C267" t="str">
            <v>Skatt på värdeförändringar av aktier och innehav</v>
          </cell>
          <cell r="AF267">
            <v>0</v>
          </cell>
        </row>
        <row r="268">
          <cell r="A268" t="str">
            <v>VärdeförändrIntrbol4Q</v>
          </cell>
          <cell r="C268" t="str">
            <v>Värdeförändringar av intressebolag</v>
          </cell>
          <cell r="AF268">
            <v>-9999.8533478260906</v>
          </cell>
        </row>
        <row r="269">
          <cell r="A269" t="str">
            <v>SkattVärdeförändrIntrbol4Q</v>
          </cell>
          <cell r="C269" t="str">
            <v>Skatt på värdeförändringar av intresseföretag</v>
          </cell>
          <cell r="H269">
            <v>0</v>
          </cell>
          <cell r="I269">
            <v>0</v>
          </cell>
          <cell r="J269">
            <v>0</v>
          </cell>
          <cell r="K269">
            <v>0</v>
          </cell>
          <cell r="L269">
            <v>0</v>
          </cell>
          <cell r="M269">
            <v>0</v>
          </cell>
          <cell r="N269">
            <v>0</v>
          </cell>
          <cell r="O269">
            <v>0</v>
          </cell>
          <cell r="P269">
            <v>0</v>
          </cell>
          <cell r="Q269">
            <v>0</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I269">
            <v>0</v>
          </cell>
        </row>
        <row r="270">
          <cell r="A270" t="str">
            <v>ÖvrTotalres4Q</v>
          </cell>
          <cell r="C270" t="str">
            <v>Övrigt totalresultat</v>
          </cell>
          <cell r="E270">
            <v>0</v>
          </cell>
          <cell r="F270">
            <v>0</v>
          </cell>
          <cell r="G270">
            <v>0</v>
          </cell>
          <cell r="H270">
            <v>0</v>
          </cell>
          <cell r="I270">
            <v>0</v>
          </cell>
          <cell r="J270">
            <v>0</v>
          </cell>
          <cell r="K270">
            <v>0</v>
          </cell>
          <cell r="L270">
            <v>0</v>
          </cell>
          <cell r="M270">
            <v>0</v>
          </cell>
          <cell r="N270">
            <v>0</v>
          </cell>
          <cell r="O270">
            <v>0</v>
          </cell>
          <cell r="P270">
            <v>0</v>
          </cell>
          <cell r="Q270">
            <v>0</v>
          </cell>
          <cell r="R270">
            <v>0</v>
          </cell>
          <cell r="S270">
            <v>0</v>
          </cell>
          <cell r="T270">
            <v>0</v>
          </cell>
          <cell r="U270">
            <v>2192.1686300000001</v>
          </cell>
          <cell r="V270">
            <v>-2089.8489499999996</v>
          </cell>
          <cell r="W270">
            <v>-6827.5120100000004</v>
          </cell>
          <cell r="X270">
            <v>-30339</v>
          </cell>
          <cell r="Y270">
            <v>55.836449999898832</v>
          </cell>
          <cell r="Z270">
            <v>16346.848949999996</v>
          </cell>
          <cell r="AA270">
            <v>6624.5120099999986</v>
          </cell>
          <cell r="AB270">
            <v>15113.34476</v>
          </cell>
          <cell r="AC270">
            <v>-76348.96830999988</v>
          </cell>
          <cell r="AD270">
            <v>-33151.914670000013</v>
          </cell>
          <cell r="AE270">
            <v>-5577.8481600000068</v>
          </cell>
          <cell r="AF270">
            <v>148558.78464095891</v>
          </cell>
          <cell r="AG270">
            <v>71081.043219999992</v>
          </cell>
          <cell r="AI270">
            <v>103.6388199999983</v>
          </cell>
        </row>
        <row r="272">
          <cell r="A272" t="str">
            <v>Totalres4Q</v>
          </cell>
          <cell r="C272" t="str">
            <v>Periodens totalresultat</v>
          </cell>
          <cell r="E272">
            <v>0</v>
          </cell>
          <cell r="F272">
            <v>0</v>
          </cell>
          <cell r="G272">
            <v>0</v>
          </cell>
          <cell r="H272">
            <v>249559.35302475921</v>
          </cell>
          <cell r="I272">
            <v>283446.45067526004</v>
          </cell>
          <cell r="J272">
            <v>331989.11293861334</v>
          </cell>
          <cell r="K272">
            <v>364887.35443375539</v>
          </cell>
          <cell r="L272">
            <v>414975.23771125404</v>
          </cell>
          <cell r="M272">
            <v>414146.42316706711</v>
          </cell>
          <cell r="N272">
            <v>404285.17595375417</v>
          </cell>
          <cell r="O272">
            <v>416145.78224678535</v>
          </cell>
          <cell r="P272">
            <v>398917.82471884374</v>
          </cell>
          <cell r="Q272">
            <v>403892.60406393296</v>
          </cell>
          <cell r="R272">
            <v>398302.93750726321</v>
          </cell>
          <cell r="S272">
            <v>381571.89663926122</v>
          </cell>
          <cell r="T272">
            <v>378541.88482408482</v>
          </cell>
          <cell r="U272">
            <v>381150.95652376686</v>
          </cell>
          <cell r="V272">
            <v>367543.58428007743</v>
          </cell>
          <cell r="W272">
            <v>380408.86295370699</v>
          </cell>
          <cell r="X272">
            <v>318731.27566941071</v>
          </cell>
          <cell r="Y272">
            <v>332506.74874961964</v>
          </cell>
          <cell r="Z272">
            <v>370673.51548167097</v>
          </cell>
          <cell r="AA272">
            <v>392374.83461555827</v>
          </cell>
          <cell r="AB272">
            <v>462046.15913355607</v>
          </cell>
          <cell r="AC272">
            <v>588312.41686760506</v>
          </cell>
          <cell r="AD272">
            <v>811130.66598830151</v>
          </cell>
          <cell r="AE272">
            <v>1032075.1595316967</v>
          </cell>
          <cell r="AF272">
            <v>1483163.0098924316</v>
          </cell>
          <cell r="AG272">
            <v>1732634.2779217516</v>
          </cell>
          <cell r="AI272">
            <v>1981497.9627464351</v>
          </cell>
        </row>
        <row r="274">
          <cell r="C274" t="str">
            <v>Ekonomisk översikt - kvartal (kSEK)</v>
          </cell>
        </row>
        <row r="275">
          <cell r="A275" t="str">
            <v>BruttocourtageQ</v>
          </cell>
          <cell r="C275" t="str">
            <v>Courtageintäkter (brutto)</v>
          </cell>
          <cell r="E275">
            <v>89683.799950032</v>
          </cell>
          <cell r="F275">
            <v>70882.687079518189</v>
          </cell>
          <cell r="G275">
            <v>77642.953133695191</v>
          </cell>
          <cell r="H275">
            <v>94314.035130000004</v>
          </cell>
          <cell r="I275">
            <v>128614.07550000001</v>
          </cell>
          <cell r="J275">
            <v>123617.27528</v>
          </cell>
          <cell r="K275">
            <v>130628.82739999998</v>
          </cell>
          <cell r="L275">
            <v>167338.98155</v>
          </cell>
          <cell r="M275">
            <v>146113.04576999997</v>
          </cell>
          <cell r="N275">
            <v>126536.94774000002</v>
          </cell>
          <cell r="O275">
            <v>130786.34139000002</v>
          </cell>
          <cell r="P275">
            <v>139366.67158999998</v>
          </cell>
          <cell r="Q275">
            <v>139770</v>
          </cell>
          <cell r="R275">
            <v>118457</v>
          </cell>
          <cell r="S275">
            <v>125635.61628999999</v>
          </cell>
          <cell r="T275">
            <v>144211.90191999948</v>
          </cell>
          <cell r="U275">
            <v>143549</v>
          </cell>
          <cell r="V275">
            <v>112038.5471999999</v>
          </cell>
          <cell r="W275">
            <v>132319.89825000032</v>
          </cell>
          <cell r="X275">
            <v>132444.51273999995</v>
          </cell>
          <cell r="Y275">
            <v>133833.86986999999</v>
          </cell>
          <cell r="Z275">
            <v>126217.76198000001</v>
          </cell>
          <cell r="AA275">
            <v>150088.64186999982</v>
          </cell>
          <cell r="AB275">
            <v>146062.96797000067</v>
          </cell>
          <cell r="AC275">
            <v>305824.69223000004</v>
          </cell>
          <cell r="AD275">
            <v>299271.35867999925</v>
          </cell>
          <cell r="AE275">
            <v>327353.69189000019</v>
          </cell>
          <cell r="AF275">
            <v>339179.45001999993</v>
          </cell>
          <cell r="AG275">
            <v>515295.90185999981</v>
          </cell>
          <cell r="AH275">
            <v>386548.88595999993</v>
          </cell>
          <cell r="AI275">
            <v>381866.35407000169</v>
          </cell>
        </row>
        <row r="276">
          <cell r="A276" t="str">
            <v>CourtageIntQ</v>
          </cell>
          <cell r="C276" t="str">
            <v>Courtageintäkter (netto)</v>
          </cell>
          <cell r="E276">
            <v>77438.93758250009</v>
          </cell>
          <cell r="F276">
            <v>60772.382442500057</v>
          </cell>
          <cell r="G276">
            <v>66636.601772499984</v>
          </cell>
          <cell r="H276">
            <v>80923.841332499942</v>
          </cell>
          <cell r="I276">
            <v>113256.94819500012</v>
          </cell>
          <cell r="J276">
            <v>107872.28585500001</v>
          </cell>
          <cell r="K276">
            <v>112564.35973500002</v>
          </cell>
          <cell r="L276">
            <v>145667.29427499999</v>
          </cell>
          <cell r="M276">
            <v>125168.38805999998</v>
          </cell>
          <cell r="N276">
            <v>109637.84601000001</v>
          </cell>
          <cell r="O276">
            <v>113006.14635999998</v>
          </cell>
          <cell r="P276">
            <v>121575.57454999999</v>
          </cell>
          <cell r="Q276">
            <v>121676.81512999993</v>
          </cell>
          <cell r="R276">
            <v>100242.98910000001</v>
          </cell>
          <cell r="S276">
            <v>105665.69794999999</v>
          </cell>
          <cell r="T276">
            <v>121837.53486999976</v>
          </cell>
          <cell r="U276">
            <v>121631.93654000005</v>
          </cell>
          <cell r="V276">
            <v>91590.848169999925</v>
          </cell>
          <cell r="W276">
            <v>110984.75426000032</v>
          </cell>
          <cell r="X276">
            <v>111044.69201999991</v>
          </cell>
          <cell r="Y276">
            <v>112307.35965000014</v>
          </cell>
          <cell r="Z276">
            <v>104836.53260999989</v>
          </cell>
          <cell r="AA276">
            <v>125687.4957999998</v>
          </cell>
          <cell r="AB276">
            <v>123046.7183500002</v>
          </cell>
          <cell r="AC276">
            <v>267852.21531892812</v>
          </cell>
          <cell r="AD276">
            <v>260064.93237339123</v>
          </cell>
          <cell r="AE276">
            <v>282700.48760339309</v>
          </cell>
          <cell r="AF276">
            <v>291425.95194428792</v>
          </cell>
          <cell r="AG276">
            <v>438653.3234555638</v>
          </cell>
          <cell r="AH276">
            <v>333708.92094669212</v>
          </cell>
          <cell r="AI276">
            <v>329733.14671669353</v>
          </cell>
        </row>
        <row r="277">
          <cell r="A277" t="str">
            <v>FondprovisbruttoQ</v>
          </cell>
          <cell r="C277" t="str">
            <v>Fondprovisioner (brutto)</v>
          </cell>
          <cell r="Y277">
            <v>71698.814530000018</v>
          </cell>
          <cell r="Z277">
            <v>82616.866770000008</v>
          </cell>
          <cell r="AA277">
            <v>86310.563090000011</v>
          </cell>
          <cell r="AB277">
            <v>91336.806440000029</v>
          </cell>
          <cell r="AC277">
            <v>96299.049140000017</v>
          </cell>
          <cell r="AD277">
            <v>88080.370739999998</v>
          </cell>
          <cell r="AE277">
            <v>108961.44069000002</v>
          </cell>
          <cell r="AF277">
            <v>124635.42631</v>
          </cell>
          <cell r="AG277">
            <v>151675.26053000006</v>
          </cell>
          <cell r="AH277">
            <v>167144.06745</v>
          </cell>
          <cell r="AI277">
            <v>179235.51157999999</v>
          </cell>
        </row>
        <row r="278">
          <cell r="A278" t="str">
            <v>FondprovisQ</v>
          </cell>
          <cell r="C278" t="str">
            <v>Fondprovisioner (netto)</v>
          </cell>
          <cell r="E278">
            <v>24548.2448</v>
          </cell>
          <cell r="F278">
            <v>27048.521930000006</v>
          </cell>
          <cell r="G278">
            <v>30949.198150000004</v>
          </cell>
          <cell r="H278">
            <v>31289.610470000007</v>
          </cell>
          <cell r="I278">
            <v>39713.381110000017</v>
          </cell>
          <cell r="J278">
            <v>43790.753860000012</v>
          </cell>
          <cell r="K278">
            <v>37781.103550000007</v>
          </cell>
          <cell r="L278">
            <v>38384.147290000001</v>
          </cell>
          <cell r="M278">
            <v>36986.008099999999</v>
          </cell>
          <cell r="N278">
            <v>38222.673769999994</v>
          </cell>
          <cell r="O278">
            <v>44457.138969999985</v>
          </cell>
          <cell r="P278">
            <v>47856.236890000022</v>
          </cell>
          <cell r="Q278">
            <v>52504.774629999978</v>
          </cell>
          <cell r="R278">
            <v>61000.177520000005</v>
          </cell>
          <cell r="S278">
            <v>61760.46780999998</v>
          </cell>
          <cell r="T278">
            <v>64388.789070000028</v>
          </cell>
          <cell r="U278">
            <v>72065.722270000013</v>
          </cell>
          <cell r="V278">
            <v>74429.065080000015</v>
          </cell>
          <cell r="W278">
            <v>80760.742770000026</v>
          </cell>
          <cell r="X278">
            <v>73662.072209999955</v>
          </cell>
          <cell r="Y278">
            <v>71698.814530000018</v>
          </cell>
          <cell r="Z278">
            <v>82616.866770000008</v>
          </cell>
          <cell r="AA278">
            <v>86310.563090000011</v>
          </cell>
          <cell r="AB278">
            <v>91336.806440000029</v>
          </cell>
          <cell r="AC278">
            <v>96299.049140000017</v>
          </cell>
          <cell r="AD278">
            <v>88080.370739999998</v>
          </cell>
          <cell r="AE278">
            <v>108961.44069000002</v>
          </cell>
          <cell r="AF278">
            <v>124635.42631</v>
          </cell>
          <cell r="AG278">
            <v>150240.63441000009</v>
          </cell>
          <cell r="AH278">
            <v>161429.06234999999</v>
          </cell>
          <cell r="AI278">
            <v>173324.20903</v>
          </cell>
        </row>
        <row r="279">
          <cell r="A279" t="str">
            <v>ValutanettoQ</v>
          </cell>
          <cell r="C279" t="str">
            <v>Valutanetto</v>
          </cell>
          <cell r="Y279">
            <v>31567.26228000001</v>
          </cell>
          <cell r="Z279">
            <v>29317.766330000002</v>
          </cell>
          <cell r="AA279">
            <v>32909.92371000001</v>
          </cell>
          <cell r="AB279">
            <v>30840.221610000004</v>
          </cell>
          <cell r="AC279">
            <v>72656.789439999993</v>
          </cell>
          <cell r="AD279">
            <v>80547.816159999988</v>
          </cell>
          <cell r="AE279">
            <v>87975.921750000009</v>
          </cell>
          <cell r="AF279">
            <v>114013.33226</v>
          </cell>
          <cell r="AG279">
            <v>247285.86343999999</v>
          </cell>
          <cell r="AH279">
            <v>128685.48082999999</v>
          </cell>
          <cell r="AI279">
            <v>114453.72742</v>
          </cell>
        </row>
        <row r="280">
          <cell r="A280" t="str">
            <v>RäntenettoQ</v>
          </cell>
          <cell r="C280" t="str">
            <v>Räntenetto</v>
          </cell>
          <cell r="E280">
            <v>49235.587370000001</v>
          </cell>
          <cell r="F280">
            <v>52259.971680000002</v>
          </cell>
          <cell r="G280">
            <v>45475.990489999996</v>
          </cell>
          <cell r="H280">
            <v>44538.161010000003</v>
          </cell>
          <cell r="I280">
            <v>43277.581319999998</v>
          </cell>
          <cell r="J280">
            <v>36172.065699999999</v>
          </cell>
          <cell r="K280">
            <v>28859.401239999999</v>
          </cell>
          <cell r="L280">
            <v>30410.574869999997</v>
          </cell>
          <cell r="M280">
            <v>31476.233399999976</v>
          </cell>
          <cell r="N280">
            <v>26955.190429999995</v>
          </cell>
          <cell r="O280">
            <v>25326.904799999982</v>
          </cell>
          <cell r="P280">
            <v>30510.408010000039</v>
          </cell>
          <cell r="Q280">
            <v>28987.895820000005</v>
          </cell>
          <cell r="R280">
            <v>26781.88484000001</v>
          </cell>
          <cell r="S280">
            <v>25200.177970000015</v>
          </cell>
          <cell r="T280">
            <v>26538.715399999983</v>
          </cell>
          <cell r="U280">
            <v>22673.125290000022</v>
          </cell>
          <cell r="V280">
            <v>22359.053040000021</v>
          </cell>
          <cell r="W280">
            <v>24496.013490000001</v>
          </cell>
          <cell r="X280">
            <v>21029.742770000048</v>
          </cell>
          <cell r="Y280">
            <v>30276.147699999987</v>
          </cell>
          <cell r="Z280">
            <v>41980.170369999949</v>
          </cell>
          <cell r="AA280">
            <v>44749.348469999997</v>
          </cell>
          <cell r="AB280">
            <v>48327.695050000024</v>
          </cell>
          <cell r="AC280">
            <v>63672.363070000065</v>
          </cell>
          <cell r="AD280">
            <v>73420.801359999939</v>
          </cell>
          <cell r="AE280">
            <v>73606.92598</v>
          </cell>
          <cell r="AF280">
            <v>72616.059450000001</v>
          </cell>
          <cell r="AG280">
            <v>76390.721080000032</v>
          </cell>
          <cell r="AH280">
            <v>79994.168380000017</v>
          </cell>
          <cell r="AI280">
            <v>82845.074590000033</v>
          </cell>
        </row>
        <row r="281">
          <cell r="A281" t="str">
            <v>ÖvrIntQ</v>
          </cell>
          <cell r="C281" t="str">
            <v>Övriga intäkter</v>
          </cell>
          <cell r="E281">
            <v>16942.447290001099</v>
          </cell>
          <cell r="F281">
            <v>20174.2789400949</v>
          </cell>
          <cell r="G281">
            <v>18679.737944201701</v>
          </cell>
          <cell r="H281">
            <v>31156.766880390602</v>
          </cell>
          <cell r="I281">
            <v>23109.878378443798</v>
          </cell>
          <cell r="J281">
            <v>37224.677060000096</v>
          </cell>
          <cell r="K281">
            <v>22053.893109999801</v>
          </cell>
          <cell r="L281">
            <v>35702</v>
          </cell>
          <cell r="M281">
            <v>30445.804479999599</v>
          </cell>
          <cell r="N281">
            <v>45858.958279999999</v>
          </cell>
          <cell r="O281">
            <v>35901.128919999399</v>
          </cell>
          <cell r="P281">
            <v>45242.158619999507</v>
          </cell>
          <cell r="Q281">
            <v>41317.276430001599</v>
          </cell>
          <cell r="R281">
            <v>45526.014789993096</v>
          </cell>
          <cell r="S281">
            <v>34043.8735200015</v>
          </cell>
          <cell r="T281">
            <v>58023.490779998101</v>
          </cell>
          <cell r="U281">
            <v>54941.226779995399</v>
          </cell>
          <cell r="V281">
            <v>55304.900109994182</v>
          </cell>
          <cell r="W281">
            <v>50847.329089989529</v>
          </cell>
          <cell r="X281">
            <v>61175.591519993541</v>
          </cell>
          <cell r="Y281">
            <v>21802.775232667474</v>
          </cell>
          <cell r="Z281">
            <v>25347.687641771514</v>
          </cell>
          <cell r="AA281">
            <v>23371.861943569056</v>
          </cell>
          <cell r="AB281">
            <v>35117.919421969214</v>
          </cell>
          <cell r="AC281">
            <v>41174.563777146119</v>
          </cell>
          <cell r="AD281">
            <v>23530.261549644943</v>
          </cell>
          <cell r="AE281">
            <v>22155.633310479316</v>
          </cell>
          <cell r="AF281">
            <v>103390.898349992</v>
          </cell>
          <cell r="AG281">
            <v>44176.553666838037</v>
          </cell>
          <cell r="AH281">
            <v>49749.453096808276</v>
          </cell>
          <cell r="AI281">
            <v>66577.992616809774</v>
          </cell>
        </row>
        <row r="282">
          <cell r="C282" t="str">
            <v>Rörelsens intäkter</v>
          </cell>
          <cell r="E282">
            <v>168165.21704250117</v>
          </cell>
          <cell r="F282">
            <v>160255.15499259497</v>
          </cell>
          <cell r="G282">
            <v>161741.52835670169</v>
          </cell>
          <cell r="H282">
            <v>187908.37969289056</v>
          </cell>
          <cell r="I282">
            <v>219357.78900344393</v>
          </cell>
          <cell r="J282">
            <v>225059.78247500013</v>
          </cell>
          <cell r="K282">
            <v>201258.75763499984</v>
          </cell>
          <cell r="L282">
            <v>250164.016435</v>
          </cell>
          <cell r="M282">
            <v>224076.43403999956</v>
          </cell>
          <cell r="N282">
            <v>220674.66848999998</v>
          </cell>
          <cell r="O282">
            <v>218691.31904999938</v>
          </cell>
          <cell r="P282">
            <v>245184.37806999957</v>
          </cell>
          <cell r="Q282">
            <v>244486.76201000152</v>
          </cell>
          <cell r="R282">
            <v>233551.06624999311</v>
          </cell>
          <cell r="S282">
            <v>226670.2172500015</v>
          </cell>
          <cell r="T282">
            <v>270788.53011999791</v>
          </cell>
          <cell r="U282">
            <v>271312.01087999548</v>
          </cell>
          <cell r="V282">
            <v>243683.86639999412</v>
          </cell>
          <cell r="W282">
            <v>267088.8396099899</v>
          </cell>
          <cell r="X282">
            <v>266912.09851999342</v>
          </cell>
          <cell r="Y282">
            <v>267652.3593926676</v>
          </cell>
          <cell r="Z282">
            <v>284099.02372177137</v>
          </cell>
          <cell r="AA282">
            <v>313029.19301356882</v>
          </cell>
          <cell r="AB282">
            <v>328669.36087196949</v>
          </cell>
          <cell r="AC282">
            <v>541654.98074607435</v>
          </cell>
          <cell r="AD282">
            <v>525644.18218303612</v>
          </cell>
          <cell r="AE282">
            <v>575400.40933387238</v>
          </cell>
          <cell r="AF282">
            <v>706081.66831427999</v>
          </cell>
          <cell r="AG282">
            <v>956747.0960524017</v>
          </cell>
          <cell r="AH282">
            <v>753567.08560350048</v>
          </cell>
          <cell r="AI282">
            <v>766934.15037350333</v>
          </cell>
        </row>
        <row r="283">
          <cell r="C283" t="str">
            <v>Check</v>
          </cell>
          <cell r="E283">
            <v>0.2046699998609256</v>
          </cell>
          <cell r="F283">
            <v>-1.7218799980764743</v>
          </cell>
          <cell r="G283">
            <v>0.9753600001859013</v>
          </cell>
          <cell r="H283">
            <v>-1.0103200021549128</v>
          </cell>
          <cell r="I283">
            <v>-0.78900344393332489</v>
          </cell>
          <cell r="J283">
            <v>1.217524999869056</v>
          </cell>
          <cell r="K283">
            <v>-0.75763499984168448</v>
          </cell>
          <cell r="L283">
            <v>0.22999500000150874</v>
          </cell>
          <cell r="M283">
            <v>6.1118043959140778E-10</v>
          </cell>
          <cell r="N283">
            <v>0.10600000008707866</v>
          </cell>
          <cell r="O283">
            <v>0.1209999977145344</v>
          </cell>
          <cell r="P283">
            <v>-1.1932570487260818E-9</v>
          </cell>
          <cell r="Q283">
            <v>-0.21867000075872056</v>
          </cell>
          <cell r="R283">
            <v>-1.9993021851405501E-5</v>
          </cell>
          <cell r="S283">
            <v>-4.5000002428423613E-2</v>
          </cell>
          <cell r="T283">
            <v>0.63312000455334783</v>
          </cell>
          <cell r="U283">
            <v>5.1222741603851318E-9</v>
          </cell>
          <cell r="V283">
            <v>0.12477000770741142</v>
          </cell>
          <cell r="W283">
            <v>6.577465683221817E-9</v>
          </cell>
          <cell r="X283">
            <v>-5.990192701574415E-3</v>
          </cell>
          <cell r="Y283">
            <v>8.9057721197605133E-9</v>
          </cell>
          <cell r="Z283">
            <v>3.0042487196624279E-5</v>
          </cell>
          <cell r="AA283">
            <v>-1.0000308975577354E-3</v>
          </cell>
          <cell r="AB283">
            <v>6.577465683221817E-9</v>
          </cell>
          <cell r="AC283">
            <v>8.149072527885437E-9</v>
          </cell>
          <cell r="AD283">
            <v>-7.1699878899380565E-3</v>
          </cell>
          <cell r="AE283">
            <v>8.8475644588470459E-9</v>
          </cell>
          <cell r="AF283">
            <v>7.2000070940703154E-3</v>
          </cell>
          <cell r="AG283">
            <v>-3.3061951398849487E-8</v>
          </cell>
          <cell r="AH283">
            <v>3.14321368932724E-9</v>
          </cell>
          <cell r="AI283">
            <v>-2.3166649043560028E-8</v>
          </cell>
        </row>
        <row r="284">
          <cell r="E284">
            <v>16847.264700001098</v>
          </cell>
          <cell r="F284">
            <v>20189.573340094899</v>
          </cell>
          <cell r="G284">
            <v>18616.1763442017</v>
          </cell>
          <cell r="H284">
            <v>31117.656970390603</v>
          </cell>
          <cell r="I284">
            <v>22234.878378443798</v>
          </cell>
          <cell r="J284">
            <v>36739.677060000096</v>
          </cell>
          <cell r="K284">
            <v>21921.893109999801</v>
          </cell>
          <cell r="L284">
            <v>35601</v>
          </cell>
        </row>
        <row r="285">
          <cell r="A285" t="str">
            <v>PersonalkostnQ</v>
          </cell>
          <cell r="C285" t="str">
            <v>Personal</v>
          </cell>
          <cell r="E285">
            <v>-57846.782820000037</v>
          </cell>
          <cell r="F285">
            <v>-58239.134750000063</v>
          </cell>
          <cell r="G285">
            <v>-50742.536480000126</v>
          </cell>
          <cell r="H285">
            <v>-66989.227440000046</v>
          </cell>
          <cell r="I285">
            <v>-64315.448149999895</v>
          </cell>
          <cell r="J285">
            <v>-68561.239260000119</v>
          </cell>
          <cell r="K285">
            <v>-58292.650960000101</v>
          </cell>
          <cell r="L285">
            <v>-75013.342300000106</v>
          </cell>
          <cell r="M285">
            <v>-72228.653290000031</v>
          </cell>
          <cell r="N285">
            <v>-73618.747579999996</v>
          </cell>
          <cell r="O285">
            <v>-61549.7269273766</v>
          </cell>
          <cell r="P285">
            <v>-83045.426756064902</v>
          </cell>
          <cell r="Q285">
            <v>-81501.703506064921</v>
          </cell>
          <cell r="R285">
            <v>-86708.282590493618</v>
          </cell>
          <cell r="S285">
            <v>-73517.834770000045</v>
          </cell>
          <cell r="T285">
            <v>-98345.739870000107</v>
          </cell>
          <cell r="U285">
            <v>-90434.345699999991</v>
          </cell>
          <cell r="V285">
            <v>-97434.588589999898</v>
          </cell>
          <cell r="W285">
            <v>-82713.045910000001</v>
          </cell>
          <cell r="X285">
            <v>-96774.449169999803</v>
          </cell>
          <cell r="Y285">
            <v>-102693.27952000001</v>
          </cell>
          <cell r="Z285">
            <v>-106974.156024796</v>
          </cell>
          <cell r="AA285">
            <v>-90257.516374796003</v>
          </cell>
          <cell r="AB285">
            <v>-114530.115964796</v>
          </cell>
          <cell r="AC285">
            <v>-111201.153415612</v>
          </cell>
          <cell r="AD285">
            <v>-120151.849935299</v>
          </cell>
          <cell r="AE285">
            <v>-102783.70459461</v>
          </cell>
          <cell r="AF285">
            <v>-134599.32333461</v>
          </cell>
          <cell r="AG285">
            <v>-136689.90085460999</v>
          </cell>
          <cell r="AH285">
            <v>-144845.47076087</v>
          </cell>
          <cell r="AI285">
            <v>-124599.40355</v>
          </cell>
        </row>
        <row r="286">
          <cell r="A286" t="str">
            <v>MFkostnQ</v>
          </cell>
          <cell r="C286" t="str">
            <v>Marknadsföring</v>
          </cell>
          <cell r="E286">
            <v>-3587.8084099999996</v>
          </cell>
          <cell r="F286">
            <v>-4910.7302499999996</v>
          </cell>
          <cell r="G286">
            <v>-3654.0007900000001</v>
          </cell>
          <cell r="H286">
            <v>-7419.0880799999995</v>
          </cell>
          <cell r="I286">
            <v>-6875.6804699999993</v>
          </cell>
          <cell r="J286">
            <v>-3707.3084600000002</v>
          </cell>
          <cell r="K286">
            <v>-3809.3907900000004</v>
          </cell>
          <cell r="L286">
            <v>-3847.4468999999999</v>
          </cell>
          <cell r="M286">
            <v>-4887.9782999999998</v>
          </cell>
          <cell r="N286">
            <v>-3992.5400199999999</v>
          </cell>
          <cell r="O286">
            <v>-3571.7572399999999</v>
          </cell>
          <cell r="P286">
            <v>-9213.2806199999995</v>
          </cell>
          <cell r="Q286">
            <v>-4443.44956</v>
          </cell>
          <cell r="R286">
            <v>-2347.6673199999996</v>
          </cell>
          <cell r="S286">
            <v>-3639.2102999999997</v>
          </cell>
          <cell r="T286">
            <v>-7876.0867000000007</v>
          </cell>
          <cell r="U286">
            <v>-4897.5586900000017</v>
          </cell>
          <cell r="V286">
            <v>-3220.3720999999996</v>
          </cell>
          <cell r="W286">
            <v>-4939.0719500000005</v>
          </cell>
          <cell r="X286">
            <v>-3796.8907400000003</v>
          </cell>
          <cell r="Y286">
            <v>-8000.3054800000009</v>
          </cell>
          <cell r="Z286">
            <v>-3451.9545899999998</v>
          </cell>
          <cell r="AA286">
            <v>-4454.384</v>
          </cell>
          <cell r="AB286">
            <v>-2680.1876299999999</v>
          </cell>
          <cell r="AC286">
            <v>-7914.3789499999993</v>
          </cell>
          <cell r="AD286">
            <v>-2298.9963399999997</v>
          </cell>
          <cell r="AE286">
            <v>-6775.5518700000002</v>
          </cell>
          <cell r="AF286">
            <v>-4825.8804</v>
          </cell>
          <cell r="AG286">
            <v>-9324.7276600000005</v>
          </cell>
          <cell r="AH286">
            <v>-2998.4016918500802</v>
          </cell>
          <cell r="AI286">
            <v>-4652.0658327751198</v>
          </cell>
        </row>
        <row r="287">
          <cell r="C287" t="str">
            <v>Avskrivningar</v>
          </cell>
          <cell r="E287">
            <v>-2091.2610400000003</v>
          </cell>
          <cell r="F287">
            <v>-1816.2733499999995</v>
          </cell>
          <cell r="G287">
            <v>-1909.0857600000008</v>
          </cell>
          <cell r="H287">
            <v>-1644.1444699999993</v>
          </cell>
          <cell r="I287">
            <v>-1928</v>
          </cell>
          <cell r="J287">
            <v>-2028</v>
          </cell>
          <cell r="K287">
            <v>-2081</v>
          </cell>
          <cell r="L287">
            <v>-2183</v>
          </cell>
          <cell r="M287">
            <v>-2322.6096899999998</v>
          </cell>
          <cell r="N287">
            <v>-1967.9089500000005</v>
          </cell>
          <cell r="O287">
            <v>-1817.2544900000003</v>
          </cell>
          <cell r="P287">
            <v>-1951.2312899999988</v>
          </cell>
          <cell r="Q287">
            <v>-1971.1917599999979</v>
          </cell>
          <cell r="R287">
            <v>-2037.9891200000015</v>
          </cell>
          <cell r="S287">
            <v>-5117.89113</v>
          </cell>
          <cell r="T287">
            <v>-2976.865600000001</v>
          </cell>
          <cell r="U287">
            <v>-4711.5806700000003</v>
          </cell>
          <cell r="V287">
            <v>-4839.2101499999999</v>
          </cell>
          <cell r="W287">
            <v>-4931.2829600000168</v>
          </cell>
          <cell r="X287">
            <v>-5174.525420000009</v>
          </cell>
          <cell r="Y287">
            <v>-13607.147269999999</v>
          </cell>
          <cell r="Z287">
            <v>-13676.799589999993</v>
          </cell>
          <cell r="AA287">
            <v>-13597.490030000004</v>
          </cell>
          <cell r="AB287">
            <v>-22243.801260000182</v>
          </cell>
          <cell r="AC287">
            <v>-14416.619379999998</v>
          </cell>
          <cell r="AD287">
            <v>-16650.980840000004</v>
          </cell>
          <cell r="AE287">
            <v>-19101.207959999992</v>
          </cell>
          <cell r="AF287">
            <v>-34020.662540000019</v>
          </cell>
          <cell r="AG287">
            <v>-16981.514320000028</v>
          </cell>
          <cell r="AH287">
            <v>-17295.003320000029</v>
          </cell>
          <cell r="AI287">
            <v>-17710.889220000412</v>
          </cell>
        </row>
        <row r="288">
          <cell r="A288" t="str">
            <v>ÖvrkostnQ</v>
          </cell>
          <cell r="C288" t="str">
            <v>Övriga kostnader</v>
          </cell>
          <cell r="E288">
            <v>-28609.302093001799</v>
          </cell>
          <cell r="F288">
            <v>-28301.8337259498</v>
          </cell>
          <cell r="G288">
            <v>-34256.4254818427</v>
          </cell>
          <cell r="H288">
            <v>-30723.8220691311</v>
          </cell>
          <cell r="I288">
            <v>-31225.4125376999</v>
          </cell>
          <cell r="J288">
            <v>-29561.149596793897</v>
          </cell>
          <cell r="K288">
            <v>-28706.6912731251</v>
          </cell>
          <cell r="L288">
            <v>-28862.013899791898</v>
          </cell>
          <cell r="M288">
            <v>-29999.751674187632</v>
          </cell>
          <cell r="N288">
            <v>-29698.866153313</v>
          </cell>
          <cell r="O288">
            <v>-29404.920099586951</v>
          </cell>
          <cell r="P288">
            <v>-33975.445220620299</v>
          </cell>
          <cell r="Q288">
            <v>-36179.21473303315</v>
          </cell>
          <cell r="R288">
            <v>-39412.59470948836</v>
          </cell>
          <cell r="S288">
            <v>-40699.817884972894</v>
          </cell>
          <cell r="T288">
            <v>-48060.4028918677</v>
          </cell>
          <cell r="U288">
            <v>-52112.894749416999</v>
          </cell>
          <cell r="V288">
            <v>-47572.914773677294</v>
          </cell>
          <cell r="W288">
            <v>-41972.759501338602</v>
          </cell>
          <cell r="X288">
            <v>-83788.206195956402</v>
          </cell>
          <cell r="Y288">
            <v>-39940.693621883001</v>
          </cell>
          <cell r="Z288">
            <v>-41693.4113186369</v>
          </cell>
          <cell r="AA288">
            <v>-40100.204216201295</v>
          </cell>
          <cell r="AB288">
            <v>-47620.648415337397</v>
          </cell>
          <cell r="AC288">
            <v>-45357.766575627902</v>
          </cell>
          <cell r="AD288">
            <v>-46285.201788672202</v>
          </cell>
          <cell r="AE288">
            <v>-48528.7384033294</v>
          </cell>
          <cell r="AF288">
            <v>-47680.831851393101</v>
          </cell>
          <cell r="AG288">
            <v>-39444.136012636096</v>
          </cell>
          <cell r="AH288">
            <v>-51218.446348333797</v>
          </cell>
          <cell r="AI288">
            <v>-45499.2644134457</v>
          </cell>
        </row>
        <row r="289">
          <cell r="C289" t="str">
            <v>Rörelsens kostnader före kreditförluster</v>
          </cell>
          <cell r="E289">
            <v>-92135.154363001828</v>
          </cell>
          <cell r="F289">
            <v>-93267.97207594986</v>
          </cell>
          <cell r="G289">
            <v>-90562.048511842819</v>
          </cell>
          <cell r="H289">
            <v>-106776.28205913115</v>
          </cell>
          <cell r="I289">
            <v>-104344.54115769979</v>
          </cell>
          <cell r="J289">
            <v>-103857.69731679402</v>
          </cell>
          <cell r="K289">
            <v>-92889.733023125198</v>
          </cell>
          <cell r="L289">
            <v>-109905.803099792</v>
          </cell>
          <cell r="M289">
            <v>-109438.99295418766</v>
          </cell>
          <cell r="N289">
            <v>-109278.06270331299</v>
          </cell>
          <cell r="O289">
            <v>-96343.658756963545</v>
          </cell>
          <cell r="P289">
            <v>-128185.3838866852</v>
          </cell>
          <cell r="Q289">
            <v>-124095.55955909807</v>
          </cell>
          <cell r="R289">
            <v>-130506.53373998197</v>
          </cell>
          <cell r="S289">
            <v>-122974.75408497296</v>
          </cell>
          <cell r="T289">
            <v>-157259.09506186782</v>
          </cell>
          <cell r="U289">
            <v>-152156.37980941701</v>
          </cell>
          <cell r="V289">
            <v>-153067.08561367719</v>
          </cell>
          <cell r="W289">
            <v>-134556.16032133863</v>
          </cell>
          <cell r="X289">
            <v>-189534.07152595621</v>
          </cell>
          <cell r="Y289">
            <v>-164241.425891883</v>
          </cell>
          <cell r="Z289">
            <v>-165796.32152343288</v>
          </cell>
          <cell r="AA289">
            <v>-148409.59462099732</v>
          </cell>
          <cell r="AB289">
            <v>-187074.7532701336</v>
          </cell>
          <cell r="AC289">
            <v>-178889.91832123991</v>
          </cell>
          <cell r="AD289">
            <v>-185387.02890397119</v>
          </cell>
          <cell r="AE289">
            <v>-177189.20282793939</v>
          </cell>
          <cell r="AF289">
            <v>-221126.69812600312</v>
          </cell>
          <cell r="AG289">
            <v>-202440.27884724611</v>
          </cell>
          <cell r="AH289">
            <v>-216357.32212105388</v>
          </cell>
          <cell r="AI289">
            <v>-192461.62301622122</v>
          </cell>
        </row>
        <row r="290">
          <cell r="C290" t="str">
            <v>Check</v>
          </cell>
          <cell r="E290">
            <v>-1.6007106751203537E-10</v>
          </cell>
          <cell r="F290">
            <v>1.2906999998522224</v>
          </cell>
          <cell r="G290">
            <v>-1.06670000111626</v>
          </cell>
          <cell r="H290">
            <v>1.2409999981027795</v>
          </cell>
          <cell r="I290">
            <v>1.5411576997867087</v>
          </cell>
          <cell r="J290">
            <v>-1.3026832059840672</v>
          </cell>
          <cell r="K290">
            <v>-0.26697687480191234</v>
          </cell>
          <cell r="L290">
            <v>-0.20561895401624497</v>
          </cell>
          <cell r="M290">
            <v>0.22937000067031477</v>
          </cell>
          <cell r="N290">
            <v>-2.9103830456733704E-11</v>
          </cell>
          <cell r="O290">
            <v>-2.4156179279088974E-9</v>
          </cell>
          <cell r="P290">
            <v>-8.2945916801691055E-10</v>
          </cell>
          <cell r="Q290">
            <v>1.9999875803478062E-5</v>
          </cell>
          <cell r="R290">
            <v>-8.8766682893037796E-10</v>
          </cell>
          <cell r="S290">
            <v>2.9394868761301041E-9</v>
          </cell>
          <cell r="T290">
            <v>1.9000147585757077E-4</v>
          </cell>
          <cell r="U290">
            <v>9.8953023552894592E-10</v>
          </cell>
          <cell r="V290">
            <v>3.3320000031962991</v>
          </cell>
          <cell r="W290">
            <v>-3.3319599993992597</v>
          </cell>
          <cell r="X290">
            <v>-4.7730281949043274E-9</v>
          </cell>
          <cell r="Y290">
            <v>2.9103830456733704E-11</v>
          </cell>
          <cell r="Z290">
            <v>0.29999999789288267</v>
          </cell>
          <cell r="AA290">
            <v>5.2968971431255341E-9</v>
          </cell>
          <cell r="AB290">
            <v>-0.30000000461586751</v>
          </cell>
          <cell r="AC290">
            <v>-8.7311491370201111E-11</v>
          </cell>
          <cell r="AD290">
            <v>-1.7753336578607559E-9</v>
          </cell>
          <cell r="AE290">
            <v>-6.6938810050487518E-10</v>
          </cell>
          <cell r="AF290">
            <v>3.3332905150018632E-4</v>
          </cell>
          <cell r="AG290">
            <v>-4.0745362639427185E-10</v>
          </cell>
          <cell r="AH290">
            <v>-5.6461431086063385E-9</v>
          </cell>
          <cell r="AI290">
            <v>-3.14321368932724E-9</v>
          </cell>
        </row>
        <row r="292">
          <cell r="C292" t="str">
            <v xml:space="preserve">Resultat före kreditförluster </v>
          </cell>
          <cell r="E292">
            <v>76030.062679499344</v>
          </cell>
          <cell r="F292">
            <v>66987.182916645106</v>
          </cell>
          <cell r="G292">
            <v>71179.47984485887</v>
          </cell>
          <cell r="H292">
            <v>81132.097633759418</v>
          </cell>
          <cell r="I292">
            <v>115013.24784574415</v>
          </cell>
          <cell r="J292">
            <v>121202.08515820612</v>
          </cell>
          <cell r="K292">
            <v>108369.02461187464</v>
          </cell>
          <cell r="L292">
            <v>140258.21333520801</v>
          </cell>
          <cell r="M292">
            <v>114637.44108581189</v>
          </cell>
          <cell r="N292">
            <v>111396.605786687</v>
          </cell>
          <cell r="O292">
            <v>122347.66029303583</v>
          </cell>
          <cell r="P292">
            <v>116998.99418331437</v>
          </cell>
          <cell r="Q292">
            <v>120391.20245090345</v>
          </cell>
          <cell r="R292">
            <v>103044.53251001114</v>
          </cell>
          <cell r="S292">
            <v>103695.46316502854</v>
          </cell>
          <cell r="T292">
            <v>113529.4350581301</v>
          </cell>
          <cell r="U292">
            <v>119155.63107057847</v>
          </cell>
          <cell r="V292">
            <v>90616.780786316929</v>
          </cell>
          <cell r="W292">
            <v>132532.67928865127</v>
          </cell>
          <cell r="X292">
            <v>77378.026994037209</v>
          </cell>
          <cell r="Y292">
            <v>103410.93350078459</v>
          </cell>
          <cell r="Z292">
            <v>118302.70219833849</v>
          </cell>
          <cell r="AA292">
            <v>164619.5983925715</v>
          </cell>
          <cell r="AB292">
            <v>141594.60760183589</v>
          </cell>
          <cell r="AC292">
            <v>362765.06242483447</v>
          </cell>
          <cell r="AD292">
            <v>340257.15327906492</v>
          </cell>
          <cell r="AE292">
            <v>398211.20650593296</v>
          </cell>
          <cell r="AF292">
            <v>484954.97018827684</v>
          </cell>
          <cell r="AG292">
            <v>754306.81720515562</v>
          </cell>
          <cell r="AH292">
            <v>537209.76348244655</v>
          </cell>
          <cell r="AI292">
            <v>574472.52735728212</v>
          </cell>
        </row>
        <row r="294">
          <cell r="C294" t="str">
            <v>Kreditförluster, netto</v>
          </cell>
          <cell r="E294">
            <v>-114.011</v>
          </cell>
          <cell r="F294">
            <v>-102.298</v>
          </cell>
          <cell r="G294">
            <v>90.728999999999999</v>
          </cell>
          <cell r="H294">
            <v>516.38300000000004</v>
          </cell>
          <cell r="I294">
            <v>-100.98399999999999</v>
          </cell>
          <cell r="J294">
            <v>-216.02199999999999</v>
          </cell>
          <cell r="K294">
            <v>-45.926000000000002</v>
          </cell>
          <cell r="L294">
            <v>147.27000000000001</v>
          </cell>
          <cell r="M294">
            <v>-131.101</v>
          </cell>
          <cell r="N294">
            <v>-221.648</v>
          </cell>
          <cell r="O294">
            <v>-169.92500000000001</v>
          </cell>
          <cell r="P294">
            <v>17.678999999999998</v>
          </cell>
          <cell r="Q294">
            <v>214.654</v>
          </cell>
          <cell r="R294">
            <v>68.554000000000002</v>
          </cell>
          <cell r="S294">
            <v>82.157000000000011</v>
          </cell>
          <cell r="T294">
            <v>25.288</v>
          </cell>
          <cell r="U294">
            <v>351.78980999999959</v>
          </cell>
          <cell r="V294">
            <v>-701.10199999999998</v>
          </cell>
          <cell r="W294">
            <v>-437.52100000000002</v>
          </cell>
          <cell r="X294">
            <v>-374.14309999999961</v>
          </cell>
          <cell r="Y294">
            <v>-1181.4269999999999</v>
          </cell>
          <cell r="Z294">
            <v>1651.8255999999978</v>
          </cell>
          <cell r="AA294">
            <v>-454.36603999999909</v>
          </cell>
          <cell r="AB294">
            <v>313.76824000000022</v>
          </cell>
          <cell r="AC294">
            <v>522.57983000000013</v>
          </cell>
          <cell r="AD294">
            <v>-4967.4577799999997</v>
          </cell>
          <cell r="AE294">
            <v>-410.79547000000065</v>
          </cell>
          <cell r="AF294">
            <v>984.23378999999909</v>
          </cell>
          <cell r="AG294">
            <v>1434.9887600000015</v>
          </cell>
          <cell r="AH294">
            <v>-859.33320000000117</v>
          </cell>
          <cell r="AI294">
            <v>-522.40397000000064</v>
          </cell>
        </row>
        <row r="295">
          <cell r="C295" t="str">
            <v>Andelar i ägarintressens resultat</v>
          </cell>
          <cell r="E295">
            <v>0</v>
          </cell>
          <cell r="F295">
            <v>0</v>
          </cell>
          <cell r="G295">
            <v>0</v>
          </cell>
          <cell r="H295">
            <v>0</v>
          </cell>
          <cell r="I295">
            <v>0</v>
          </cell>
          <cell r="J295">
            <v>0</v>
          </cell>
          <cell r="K295">
            <v>0</v>
          </cell>
          <cell r="L295">
            <v>0</v>
          </cell>
          <cell r="M295">
            <v>0</v>
          </cell>
          <cell r="N295">
            <v>0</v>
          </cell>
          <cell r="O295">
            <v>0</v>
          </cell>
          <cell r="P295">
            <v>0</v>
          </cell>
          <cell r="Q295">
            <v>0</v>
          </cell>
          <cell r="R295">
            <v>0</v>
          </cell>
          <cell r="S295">
            <v>0</v>
          </cell>
          <cell r="T295">
            <v>0</v>
          </cell>
          <cell r="U295">
            <v>0</v>
          </cell>
          <cell r="V295">
            <v>0</v>
          </cell>
          <cell r="W295">
            <v>0</v>
          </cell>
          <cell r="X295">
            <v>-655.20000000000005</v>
          </cell>
          <cell r="Y295">
            <v>-2265.2460000000001</v>
          </cell>
          <cell r="Z295">
            <v>-2494.5929999999998</v>
          </cell>
          <cell r="AA295">
            <v>-1640.7729999999992</v>
          </cell>
          <cell r="AB295">
            <v>-1841.3350000000009</v>
          </cell>
          <cell r="AC295">
            <v>-2393.0970000000002</v>
          </cell>
          <cell r="AD295">
            <v>-2095.2369999999996</v>
          </cell>
          <cell r="AE295">
            <v>-1339.9170000000004</v>
          </cell>
          <cell r="AF295">
            <v>0</v>
          </cell>
          <cell r="AG295">
            <v>0</v>
          </cell>
          <cell r="AH295">
            <v>0</v>
          </cell>
          <cell r="AI295">
            <v>0</v>
          </cell>
        </row>
        <row r="296">
          <cell r="C296" t="str">
            <v>Rörelseresultat</v>
          </cell>
          <cell r="E296">
            <v>75916.051679499345</v>
          </cell>
          <cell r="F296">
            <v>66884.884916645111</v>
          </cell>
          <cell r="G296">
            <v>71270.208844858877</v>
          </cell>
          <cell r="H296">
            <v>81648.48063375942</v>
          </cell>
          <cell r="I296">
            <v>114912.26384574415</v>
          </cell>
          <cell r="J296">
            <v>120986.06315820612</v>
          </cell>
          <cell r="K296">
            <v>108323.09861187464</v>
          </cell>
          <cell r="L296">
            <v>140405.483335208</v>
          </cell>
          <cell r="M296">
            <v>114506.3400858119</v>
          </cell>
          <cell r="N296">
            <v>111174.95778668699</v>
          </cell>
          <cell r="O296">
            <v>122177.73529303583</v>
          </cell>
          <cell r="P296">
            <v>117016.67318331437</v>
          </cell>
          <cell r="Q296">
            <v>120605.85645090345</v>
          </cell>
          <cell r="R296">
            <v>103113.08651001114</v>
          </cell>
          <cell r="S296">
            <v>103777.62016502855</v>
          </cell>
          <cell r="T296">
            <v>113554.7230581301</v>
          </cell>
          <cell r="U296">
            <v>119507.42088057847</v>
          </cell>
          <cell r="V296">
            <v>89915.67878631693</v>
          </cell>
          <cell r="W296">
            <v>132095.15828865126</v>
          </cell>
          <cell r="X296">
            <v>76348.683894037211</v>
          </cell>
          <cell r="Y296">
            <v>99964.2605007846</v>
          </cell>
          <cell r="Z296">
            <v>117459.93479833849</v>
          </cell>
          <cell r="AA296">
            <v>162524.45935257152</v>
          </cell>
          <cell r="AB296">
            <v>140067.0408418359</v>
          </cell>
          <cell r="AC296">
            <v>360894.54525483446</v>
          </cell>
          <cell r="AD296">
            <v>333194.4584990649</v>
          </cell>
          <cell r="AE296">
            <v>396460.49403593293</v>
          </cell>
          <cell r="AF296">
            <v>485939.20397827687</v>
          </cell>
          <cell r="AG296">
            <v>755741.8059651556</v>
          </cell>
          <cell r="AH296">
            <v>536350.43028244656</v>
          </cell>
          <cell r="AI296">
            <v>573950.12338728213</v>
          </cell>
        </row>
        <row r="297">
          <cell r="C297" t="str">
            <v>Check</v>
          </cell>
          <cell r="E297">
            <v>0.20466999970085453</v>
          </cell>
          <cell r="F297">
            <v>-0.4311799982242519</v>
          </cell>
          <cell r="G297">
            <v>-9.1340000930358656E-2</v>
          </cell>
          <cell r="H297">
            <v>0.2306799959478667</v>
          </cell>
          <cell r="I297">
            <v>0.73615425585012417</v>
          </cell>
          <cell r="J297">
            <v>-6.3158206117805094E-2</v>
          </cell>
          <cell r="K297">
            <v>-1.0986118746368447</v>
          </cell>
          <cell r="L297">
            <v>-0.24562395401881076</v>
          </cell>
          <cell r="M297">
            <v>0.22937000128149521</v>
          </cell>
          <cell r="N297">
            <v>0.10600000005797483</v>
          </cell>
          <cell r="O297">
            <v>0.12099999529891647</v>
          </cell>
          <cell r="P297">
            <v>-2.0227162167429924E-9</v>
          </cell>
          <cell r="Q297">
            <v>-0.21865000088291708</v>
          </cell>
          <cell r="R297">
            <v>-1.9993909518234432E-5</v>
          </cell>
          <cell r="S297">
            <v>-4.4999999488936737E-2</v>
          </cell>
          <cell r="T297">
            <v>0.6333100060292054</v>
          </cell>
          <cell r="U297">
            <v>6.1118043959140778E-9</v>
          </cell>
          <cell r="V297">
            <v>3.4567700109037105</v>
          </cell>
          <cell r="W297">
            <v>-3.331959992821794</v>
          </cell>
          <cell r="X297">
            <v>-5.9901974746026099E-3</v>
          </cell>
          <cell r="Y297">
            <v>8.934875950217247E-9</v>
          </cell>
          <cell r="Z297">
            <v>0.3000300403800793</v>
          </cell>
          <cell r="AA297">
            <v>-1.0000256006605923E-3</v>
          </cell>
          <cell r="AB297">
            <v>-0.29999999803840183</v>
          </cell>
          <cell r="AC297">
            <v>8.0326572060585022E-9</v>
          </cell>
          <cell r="AD297">
            <v>-7.1699896361678839E-3</v>
          </cell>
          <cell r="AE297">
            <v>8.2072801887989044E-9</v>
          </cell>
          <cell r="AF297">
            <v>7.5333361746743321E-3</v>
          </cell>
          <cell r="AG297">
            <v>-3.3527612686157227E-8</v>
          </cell>
          <cell r="AH297">
            <v>-2.4447217583656311E-9</v>
          </cell>
          <cell r="AI297">
            <v>-2.6309862732887268E-8</v>
          </cell>
        </row>
        <row r="299">
          <cell r="A299" t="str">
            <v>JusRörResQ</v>
          </cell>
          <cell r="C299" t="str">
            <v>Justerat rörelseresultat</v>
          </cell>
        </row>
        <row r="301">
          <cell r="C301" t="str">
            <v>Nyckeltal Q</v>
          </cell>
        </row>
        <row r="302">
          <cell r="A302" t="str">
            <v>RörelsemargQ</v>
          </cell>
          <cell r="C302" t="str">
            <v>Rörelsemarginal, %</v>
          </cell>
          <cell r="E302">
            <v>0.45143796849798884</v>
          </cell>
          <cell r="F302">
            <v>0.41736674489620879</v>
          </cell>
          <cell r="G302">
            <v>0.44063938585797002</v>
          </cell>
          <cell r="H302">
            <v>0.43451574883010297</v>
          </cell>
          <cell r="I302">
            <v>0.52386292664469336</v>
          </cell>
          <cell r="J302">
            <v>0.53756981440587215</v>
          </cell>
          <cell r="K302">
            <v>0.53822456747060987</v>
          </cell>
          <cell r="L302">
            <v>0.56125221615368459</v>
          </cell>
          <cell r="M302">
            <v>0.51101567171214657</v>
          </cell>
          <cell r="N302">
            <v>0.50379597778505936</v>
          </cell>
          <cell r="O302">
            <v>0.55867690232913969</v>
          </cell>
          <cell r="P302">
            <v>0.47725990580812994</v>
          </cell>
          <cell r="Q302">
            <v>0.49330174230971724</v>
          </cell>
          <cell r="R302">
            <v>0.44150124490749232</v>
          </cell>
          <cell r="S302">
            <v>0.4578351625840329</v>
          </cell>
          <cell r="T302">
            <v>0.41934970738652183</v>
          </cell>
          <cell r="U302">
            <v>0.44047965474496403</v>
          </cell>
          <cell r="V302">
            <v>0.36899894459458904</v>
          </cell>
          <cell r="W302">
            <v>0.49456138459974264</v>
          </cell>
          <cell r="X302">
            <v>0.28604428214624789</v>
          </cell>
          <cell r="Y302">
            <v>0.37348544480467133</v>
          </cell>
          <cell r="Z302">
            <v>0.41344821702376205</v>
          </cell>
          <cell r="AA302">
            <v>0.51919904756204671</v>
          </cell>
          <cell r="AB302">
            <v>0.42616306086528377</v>
          </cell>
          <cell r="AC302">
            <v>0.6662812271341837</v>
          </cell>
          <cell r="AD302">
            <v>0.63387832904417574</v>
          </cell>
          <cell r="AE302">
            <v>0.68901670489756539</v>
          </cell>
          <cell r="AF302">
            <v>0.68821954791231565</v>
          </cell>
          <cell r="AG302">
            <v>0.78990760367435253</v>
          </cell>
          <cell r="AH302">
            <v>0.71174874875659033</v>
          </cell>
          <cell r="AI302">
            <v>0.74836949574843503</v>
          </cell>
        </row>
        <row r="303">
          <cell r="A303" t="str">
            <v>VinstmargQ</v>
          </cell>
          <cell r="C303" t="str">
            <v>Vinstmarginal, %</v>
          </cell>
          <cell r="E303">
            <v>0.38758207059313593</v>
          </cell>
          <cell r="F303">
            <v>0.34606645648384254</v>
          </cell>
          <cell r="G303">
            <v>0.37529874405295088</v>
          </cell>
          <cell r="H303">
            <v>0.36305842959450446</v>
          </cell>
          <cell r="I303">
            <v>0.45161540320117433</v>
          </cell>
          <cell r="J303">
            <v>0.46210138584650384</v>
          </cell>
          <cell r="K303">
            <v>0.46507468026115734</v>
          </cell>
          <cell r="L303">
            <v>0.47292624505540132</v>
          </cell>
          <cell r="M303">
            <v>0.43840480538117149</v>
          </cell>
          <cell r="N303">
            <v>0.42659951960641074</v>
          </cell>
          <cell r="O303">
            <v>0.48223472427142461</v>
          </cell>
          <cell r="P303">
            <v>0.41226639714563867</v>
          </cell>
          <cell r="Q303">
            <v>0.42215396966601104</v>
          </cell>
          <cell r="R303">
            <v>0.37914657235096277</v>
          </cell>
          <cell r="S303">
            <v>0.39144791105186721</v>
          </cell>
          <cell r="T303">
            <v>0.36209450627546919</v>
          </cell>
          <cell r="U303">
            <v>0.38195090418027405</v>
          </cell>
          <cell r="V303">
            <v>0.32511258202044996</v>
          </cell>
          <cell r="W303">
            <v>0.3981166240937859</v>
          </cell>
          <cell r="X303">
            <v>0.22436289231501783</v>
          </cell>
          <cell r="Y303">
            <v>0.32508028211752898</v>
          </cell>
          <cell r="Z303">
            <v>0.35586354526406</v>
          </cell>
          <cell r="AA303">
            <v>0.44007449384014075</v>
          </cell>
          <cell r="AB303">
            <v>0.36835700328329768</v>
          </cell>
          <cell r="AC303">
            <v>0.56260366125516603</v>
          </cell>
          <cell r="AD303">
            <v>0.53405268168739206</v>
          </cell>
          <cell r="AE303">
            <v>0.57547159316287866</v>
          </cell>
          <cell r="AF303">
            <v>0.5920262384619196</v>
          </cell>
          <cell r="AG303">
            <v>0.66024353495455612</v>
          </cell>
          <cell r="AH303">
            <v>0.5979974441844822</v>
          </cell>
          <cell r="AI303">
            <v>0.62724833588775641</v>
          </cell>
        </row>
        <row r="304">
          <cell r="A304" t="str">
            <v>KItalQ</v>
          </cell>
          <cell r="C304" t="str">
            <v>K/I-tal, %</v>
          </cell>
          <cell r="E304">
            <v>0.54788406216182828</v>
          </cell>
          <cell r="F304">
            <v>0.58199490372489671</v>
          </cell>
          <cell r="G304">
            <v>0.55992156131370796</v>
          </cell>
          <cell r="H304">
            <v>0.56823232327437778</v>
          </cell>
          <cell r="I304">
            <v>0.47567663671549121</v>
          </cell>
          <cell r="J304">
            <v>0.46147044579025243</v>
          </cell>
          <cell r="K304">
            <v>0.46154687018652674</v>
          </cell>
          <cell r="L304">
            <v>0.43933539779234398</v>
          </cell>
          <cell r="M304">
            <v>0.48839925560691017</v>
          </cell>
          <cell r="N304">
            <v>0.49519961198947537</v>
          </cell>
          <cell r="O304">
            <v>0.4405460896637744</v>
          </cell>
          <cell r="P304">
            <v>0.52281219911200882</v>
          </cell>
          <cell r="Q304">
            <v>0.50757623648235672</v>
          </cell>
          <cell r="R304">
            <v>0.55879228404575376</v>
          </cell>
          <cell r="S304">
            <v>0.54252728916329895</v>
          </cell>
          <cell r="T304">
            <v>0.58074367892073442</v>
          </cell>
          <cell r="U304">
            <v>0.56081696979023066</v>
          </cell>
          <cell r="V304">
            <v>0.62812396037494223</v>
          </cell>
          <cell r="W304">
            <v>0.50380050502230644</v>
          </cell>
          <cell r="X304">
            <v>0.71009923053523516</v>
          </cell>
          <cell r="Y304">
            <v>0.61363713088335636</v>
          </cell>
          <cell r="Z304">
            <v>0.5835853264609342</v>
          </cell>
          <cell r="AA304">
            <v>0.47410784172031339</v>
          </cell>
          <cell r="AB304">
            <v>0.56918920818727625</v>
          </cell>
          <cell r="AC304">
            <v>0.3302654358958072</v>
          </cell>
          <cell r="AD304">
            <v>0.35268540529222275</v>
          </cell>
          <cell r="AE304">
            <v>0.30794069651960299</v>
          </cell>
          <cell r="AF304">
            <v>0.31317438967894545</v>
          </cell>
          <cell r="AG304">
            <v>0.2115922584793147</v>
          </cell>
          <cell r="AH304">
            <v>0.28711089729693684</v>
          </cell>
          <cell r="AI304">
            <v>0.25094934541968139</v>
          </cell>
        </row>
        <row r="305">
          <cell r="A305" t="str">
            <v>AvkastEKQ</v>
          </cell>
          <cell r="C305" t="str">
            <v>Avkastning på eget kapital, % (årsbasis)</v>
          </cell>
          <cell r="E305">
            <v>0.31549027690273829</v>
          </cell>
          <cell r="F305">
            <v>0.28764960592159566</v>
          </cell>
          <cell r="G305">
            <v>0.339606350284758</v>
          </cell>
          <cell r="H305">
            <v>0.34957744711484395</v>
          </cell>
          <cell r="I305">
            <v>0.51920861909288973</v>
          </cell>
          <cell r="J305">
            <v>0.51341917309863083</v>
          </cell>
          <cell r="K305">
            <v>0.39074646951692787</v>
          </cell>
          <cell r="L305">
            <v>0.44367188588080353</v>
          </cell>
          <cell r="M305">
            <v>0.33444674058919976</v>
          </cell>
          <cell r="N305">
            <v>0.32499407590090207</v>
          </cell>
          <cell r="O305">
            <v>0.3668295591300601</v>
          </cell>
          <cell r="P305">
            <v>0.32161350795797938</v>
          </cell>
          <cell r="Q305">
            <v>0.34327321461708526</v>
          </cell>
          <cell r="R305">
            <v>0.31018665164621412</v>
          </cell>
          <cell r="S305">
            <v>0.28222860582111969</v>
          </cell>
          <cell r="T305">
            <v>0.28462562138203829</v>
          </cell>
          <cell r="U305">
            <v>0.30985705811978764</v>
          </cell>
          <cell r="V305">
            <v>0.24641731249648374</v>
          </cell>
          <cell r="W305">
            <v>0.2972564813953284</v>
          </cell>
          <cell r="X305">
            <v>0.15197044819738645</v>
          </cell>
          <cell r="Y305">
            <v>0.22970642780316533</v>
          </cell>
          <cell r="Z305">
            <v>0.27463870447741529</v>
          </cell>
          <cell r="AA305">
            <v>0.32718269587538928</v>
          </cell>
          <cell r="AB305">
            <v>0.25591710006861701</v>
          </cell>
          <cell r="AC305">
            <v>0.64446363733175116</v>
          </cell>
          <cell r="AD305">
            <v>0.55999449905498566</v>
          </cell>
          <cell r="AE305">
            <v>0.55321694502197083</v>
          </cell>
          <cell r="AF305">
            <v>0.5778037832289783</v>
          </cell>
          <cell r="AG305">
            <v>0.73859273380772583</v>
          </cell>
          <cell r="AH305">
            <v>0.46284169242303341</v>
          </cell>
          <cell r="AI305">
            <v>0.4377058247875758</v>
          </cell>
        </row>
        <row r="306">
          <cell r="A306" t="str">
            <v>AvkastTillgQ</v>
          </cell>
          <cell r="C306" t="str">
            <v>Avkastning på tillgångar, % (årsbasis)</v>
          </cell>
          <cell r="E306">
            <v>4.4350109064558727E-3</v>
          </cell>
          <cell r="F306">
            <v>3.5402521065054674E-3</v>
          </cell>
          <cell r="G306">
            <v>3.7461183863946347E-3</v>
          </cell>
          <cell r="H306">
            <v>4.1183891530575823E-3</v>
          </cell>
          <cell r="I306">
            <v>5.3668689505713095E-3</v>
          </cell>
          <cell r="J306">
            <v>4.9844682223684975E-3</v>
          </cell>
          <cell r="K306">
            <v>4.3267436419963633E-3</v>
          </cell>
          <cell r="L306">
            <v>5.4041872113733663E-3</v>
          </cell>
          <cell r="M306">
            <v>4.39139426019874E-3</v>
          </cell>
          <cell r="N306">
            <v>4.0839323240826134E-3</v>
          </cell>
          <cell r="O306">
            <v>4.3351461477214035E-3</v>
          </cell>
          <cell r="P306">
            <v>4.0199162742687701E-3</v>
          </cell>
          <cell r="Q306">
            <v>3.9746531635146088E-3</v>
          </cell>
          <cell r="R306">
            <v>3.221117422304489E-3</v>
          </cell>
          <cell r="S306">
            <v>3.0833388089782743E-3</v>
          </cell>
          <cell r="T306">
            <v>3.3588519847963507E-3</v>
          </cell>
          <cell r="U306">
            <v>3.5118627955112872E-3</v>
          </cell>
          <cell r="V306">
            <v>2.5781279121089374E-3</v>
          </cell>
          <cell r="W306">
            <v>3.2738679026812502E-3</v>
          </cell>
          <cell r="X306">
            <v>1.8708353124092009E-3</v>
          </cell>
          <cell r="Y306">
            <v>2.6942568544457866E-3</v>
          </cell>
          <cell r="Z306">
            <v>2.8794732519788939E-3</v>
          </cell>
          <cell r="AA306">
            <v>3.7422520178774948E-3</v>
          </cell>
          <cell r="AB306">
            <v>3.1676724662659974E-3</v>
          </cell>
          <cell r="AC306">
            <v>7.7405040097371855E-3</v>
          </cell>
          <cell r="AD306">
            <v>6.7435111789048811E-3</v>
          </cell>
          <cell r="AE306">
            <v>7.2438019315482624E-3</v>
          </cell>
          <cell r="AF306">
            <v>8.4351769365577801E-3</v>
          </cell>
          <cell r="AG306">
            <v>1.1516683344901225E-2</v>
          </cell>
          <cell r="AH306">
            <v>7.4120111405957152E-3</v>
          </cell>
          <cell r="AI306">
            <v>7.4649504889788025E-3</v>
          </cell>
        </row>
        <row r="307">
          <cell r="A307" t="str">
            <v>KreditförlnivåQ</v>
          </cell>
          <cell r="C307" t="str">
            <v>Kreditförlustnivå, %</v>
          </cell>
          <cell r="F307">
            <v>-7.170594443642028E-6</v>
          </cell>
          <cell r="G307">
            <v>6.1855964292933429E-6</v>
          </cell>
          <cell r="H307">
            <v>3.5497312924669788E-5</v>
          </cell>
          <cell r="I307">
            <v>-1.0217365853335161E-5</v>
          </cell>
          <cell r="J307">
            <v>-1.9297113691859331E-5</v>
          </cell>
          <cell r="K307">
            <v>-3.2531298120866345E-6</v>
          </cell>
          <cell r="L307">
            <v>1.1813199536157069E-5</v>
          </cell>
          <cell r="M307">
            <v>-1.5907219726475464E-5</v>
          </cell>
          <cell r="N307">
            <v>-2.2325026395190406E-5</v>
          </cell>
          <cell r="O307">
            <v>-1.4598554898977655E-5</v>
          </cell>
          <cell r="P307">
            <v>1.7182381497062708E-6</v>
          </cell>
          <cell r="Q307">
            <v>2.1999595053677069E-5</v>
          </cell>
          <cell r="R307">
            <v>6.0098413168753916E-6</v>
          </cell>
          <cell r="S307">
            <v>7.260220935259036E-6</v>
          </cell>
          <cell r="T307">
            <v>2.1998155477613037E-6</v>
          </cell>
          <cell r="U307">
            <v>3.1305057706373282E-5</v>
          </cell>
          <cell r="V307">
            <v>-5.5904020168655244E-5</v>
          </cell>
          <cell r="W307">
            <v>-3.4968589031899849E-5</v>
          </cell>
          <cell r="X307">
            <v>-2.8760813894179665E-5</v>
          </cell>
          <cell r="Y307">
            <v>-1.0499459010384161E-4</v>
          </cell>
          <cell r="Z307">
            <v>1.1665659603210754E-4</v>
          </cell>
          <cell r="AA307">
            <v>-3.1819727829207935E-5</v>
          </cell>
          <cell r="AB307">
            <v>2.0496358409743512E-5</v>
          </cell>
          <cell r="AC307">
            <v>3.5138148868763469E-5</v>
          </cell>
          <cell r="AD307">
            <v>-3.2040929728082573E-4</v>
          </cell>
          <cell r="AE307">
            <v>-2.4242238728375931E-5</v>
          </cell>
          <cell r="AF307">
            <v>5.7585485812354306E-5</v>
          </cell>
          <cell r="AG307">
            <v>7.7321476568102703E-5</v>
          </cell>
          <cell r="AH307">
            <v>-4.0800478227709117E-5</v>
          </cell>
          <cell r="AI307">
            <v>-2.3668880788068732E-5</v>
          </cell>
        </row>
        <row r="309">
          <cell r="A309" t="str">
            <v>InvestQ</v>
          </cell>
          <cell r="C309" t="str">
            <v>Investeringar, kSEK</v>
          </cell>
          <cell r="E309">
            <v>1967</v>
          </cell>
          <cell r="F309">
            <v>3101</v>
          </cell>
          <cell r="G309">
            <v>2689</v>
          </cell>
          <cell r="H309">
            <v>4203</v>
          </cell>
          <cell r="I309">
            <v>5691</v>
          </cell>
          <cell r="J309">
            <v>7438</v>
          </cell>
          <cell r="K309">
            <v>6443</v>
          </cell>
          <cell r="L309">
            <v>8369</v>
          </cell>
          <cell r="M309">
            <v>6351.2669999999998</v>
          </cell>
          <cell r="N309">
            <v>5769.7330000000002</v>
          </cell>
          <cell r="O309">
            <v>8698</v>
          </cell>
          <cell r="P309">
            <v>14859</v>
          </cell>
          <cell r="Q309">
            <v>7002</v>
          </cell>
          <cell r="R309">
            <v>18996</v>
          </cell>
          <cell r="S309">
            <v>8594.6359999999986</v>
          </cell>
          <cell r="T309">
            <v>15658.364000000001</v>
          </cell>
          <cell r="U309">
            <v>10715</v>
          </cell>
          <cell r="V309">
            <v>5506</v>
          </cell>
          <cell r="W309">
            <v>8703</v>
          </cell>
          <cell r="X309">
            <v>46491</v>
          </cell>
          <cell r="Y309">
            <v>1745.6168</v>
          </cell>
          <cell r="Z309">
            <v>1941.0139999999935</v>
          </cell>
          <cell r="AA309">
            <v>1244.1447400000179</v>
          </cell>
          <cell r="AB309">
            <v>4674.228000000001</v>
          </cell>
          <cell r="AC309">
            <v>6834.9255499999908</v>
          </cell>
          <cell r="AD309">
            <v>25597.611049999963</v>
          </cell>
          <cell r="AE309">
            <v>12735.154350000033</v>
          </cell>
          <cell r="AF309">
            <v>17407.542120000013</v>
          </cell>
          <cell r="AG309">
            <v>19014.914250000005</v>
          </cell>
          <cell r="AH309">
            <v>32673.14799999999</v>
          </cell>
          <cell r="AI309">
            <v>32229.150750000037</v>
          </cell>
        </row>
        <row r="311">
          <cell r="A311" t="str">
            <v>CourtageprocentQ</v>
          </cell>
          <cell r="C311" t="str">
            <v>Courtagenetto/Rörelseintäkter, %</v>
          </cell>
          <cell r="E311">
            <v>0.4604931920191831</v>
          </cell>
          <cell r="F311">
            <v>0.37922263683379304</v>
          </cell>
          <cell r="G311">
            <v>0.41199438665832866</v>
          </cell>
          <cell r="H311">
            <v>0.43065584123900391</v>
          </cell>
          <cell r="I311">
            <v>0.51631149597893689</v>
          </cell>
          <cell r="J311">
            <v>0.47930503028448707</v>
          </cell>
          <cell r="K311">
            <v>0.5593016724228479</v>
          </cell>
          <cell r="L311">
            <v>0.58228715844450263</v>
          </cell>
          <cell r="M311">
            <v>0.55859684038731339</v>
          </cell>
          <cell r="N311">
            <v>0.49683022868104282</v>
          </cell>
          <cell r="O311">
            <v>0.51673814420664499</v>
          </cell>
          <cell r="P311">
            <v>0.49585367349664689</v>
          </cell>
          <cell r="Q311">
            <v>0.49768263168793714</v>
          </cell>
          <cell r="R311">
            <v>0.42921229480793677</v>
          </cell>
          <cell r="S311">
            <v>0.46616489467364858</v>
          </cell>
          <cell r="T311">
            <v>0.44993609890348146</v>
          </cell>
          <cell r="U311">
            <v>0.44831018039153198</v>
          </cell>
          <cell r="V311">
            <v>0.37585930296943998</v>
          </cell>
          <cell r="W311">
            <v>0.41553497488724411</v>
          </cell>
          <cell r="X311">
            <v>0.41603468945669375</v>
          </cell>
          <cell r="Y311">
            <v>0.41960160524957746</v>
          </cell>
          <cell r="Z311">
            <v>0.3690140544540208</v>
          </cell>
          <cell r="AA311">
            <v>0.40152004543087982</v>
          </cell>
          <cell r="AB311">
            <v>0.37437842707197783</v>
          </cell>
          <cell r="AC311">
            <v>0.49450706601089328</v>
          </cell>
          <cell r="AD311">
            <v>0.49475470515686837</v>
          </cell>
          <cell r="AE311">
            <v>0.49131089067292955</v>
          </cell>
          <cell r="AF311">
            <v>0.41273689011080938</v>
          </cell>
          <cell r="AG311">
            <v>0.45848409184148542</v>
          </cell>
          <cell r="AH311">
            <v>0.44283903493401461</v>
          </cell>
          <cell r="AI311">
            <v>0.42993671171913617</v>
          </cell>
        </row>
        <row r="312">
          <cell r="A312" t="str">
            <v>FondprovprocentQ</v>
          </cell>
          <cell r="C312" t="str">
            <v>Fondprovisionsnetto/Rörelseintäkter, %</v>
          </cell>
          <cell r="E312">
            <v>0.14597694595664101</v>
          </cell>
          <cell r="F312">
            <v>0.16878409890308901</v>
          </cell>
          <cell r="G312">
            <v>0.19134973228239338</v>
          </cell>
          <cell r="H312">
            <v>0.16651524812857421</v>
          </cell>
          <cell r="I312">
            <v>0.18104386122061303</v>
          </cell>
          <cell r="J312">
            <v>0.19457387445428787</v>
          </cell>
          <cell r="K312">
            <v>0.18772402251691975</v>
          </cell>
          <cell r="L312">
            <v>0.15343592510625259</v>
          </cell>
          <cell r="M312">
            <v>0.1650597853293117</v>
          </cell>
          <cell r="N312">
            <v>0.17320825281643995</v>
          </cell>
          <cell r="O312">
            <v>0.20328716824756887</v>
          </cell>
          <cell r="P312">
            <v>0.19518469025925125</v>
          </cell>
          <cell r="Q312">
            <v>0.21475508202710827</v>
          </cell>
          <cell r="R312">
            <v>0.26118560920935979</v>
          </cell>
          <cell r="S312">
            <v>0.27246838406601287</v>
          </cell>
          <cell r="T312">
            <v>0.23778255689584274</v>
          </cell>
          <cell r="U312">
            <v>0.26561935845101797</v>
          </cell>
          <cell r="V312">
            <v>0.30543287981908762</v>
          </cell>
          <cell r="W312">
            <v>0.30237408230133828</v>
          </cell>
          <cell r="X312">
            <v>0.27597876836025925</v>
          </cell>
          <cell r="Y312">
            <v>0.26788037547172178</v>
          </cell>
          <cell r="Z312">
            <v>0.29080306467687739</v>
          </cell>
          <cell r="AA312">
            <v>0.27572688112274157</v>
          </cell>
          <cell r="AB312">
            <v>0.27789875575161854</v>
          </cell>
          <cell r="AC312">
            <v>0.17778669552222695</v>
          </cell>
          <cell r="AD312">
            <v>0.16756652831996774</v>
          </cell>
          <cell r="AE312">
            <v>0.18936628984352327</v>
          </cell>
          <cell r="AF312">
            <v>0.17651701198752015</v>
          </cell>
          <cell r="AG312">
            <v>0.15703275717261367</v>
          </cell>
          <cell r="AH312">
            <v>0.2142198955262466</v>
          </cell>
          <cell r="AI312">
            <v>0.2259962070349712</v>
          </cell>
        </row>
        <row r="313">
          <cell r="A313" t="str">
            <v>ValutaprocentQ</v>
          </cell>
          <cell r="C313" t="str">
            <v>Valutanetto/Rörelseintäkter, %</v>
          </cell>
          <cell r="AB313">
            <v>9.3833576479961461E-2</v>
          </cell>
          <cell r="AC313">
            <v>0.13413850517892903</v>
          </cell>
          <cell r="AD313">
            <v>0.15323638858795965</v>
          </cell>
          <cell r="AE313">
            <v>0.15289513236851479</v>
          </cell>
          <cell r="AF313">
            <v>0.16147329321294909</v>
          </cell>
          <cell r="AG313">
            <v>0.25846523544238276</v>
          </cell>
          <cell r="AH313">
            <v>0.17076844688212617</v>
          </cell>
          <cell r="AI313">
            <v>0.1492354035405257</v>
          </cell>
        </row>
        <row r="314">
          <cell r="A314" t="str">
            <v>RäntenettoprocentQ</v>
          </cell>
          <cell r="C314" t="str">
            <v>Räntenetto/Rörelseintäkter, %</v>
          </cell>
          <cell r="E314">
            <v>0.29278104138239519</v>
          </cell>
          <cell r="F314">
            <v>0.32610477761177054</v>
          </cell>
          <cell r="G314">
            <v>0.28116458989869386</v>
          </cell>
          <cell r="H314">
            <v>0.23702062187323031</v>
          </cell>
          <cell r="I314">
            <v>0.19729220246343993</v>
          </cell>
          <cell r="J314">
            <v>0.1607220326182357</v>
          </cell>
          <cell r="K314">
            <v>0.14339451151904167</v>
          </cell>
          <cell r="L314">
            <v>0.12156254645800174</v>
          </cell>
          <cell r="M314">
            <v>0.14047096712714197</v>
          </cell>
          <cell r="N314">
            <v>0.12214900157976893</v>
          </cell>
          <cell r="O314">
            <v>0.11581120325224017</v>
          </cell>
          <cell r="P314">
            <v>0.12443862961485005</v>
          </cell>
          <cell r="Q314">
            <v>0.11856632065344365</v>
          </cell>
          <cell r="R314">
            <v>0.11467250083685199</v>
          </cell>
          <cell r="S314">
            <v>0.11117551425914049</v>
          </cell>
          <cell r="T314">
            <v>9.800531576518233E-2</v>
          </cell>
          <cell r="U314">
            <v>8.3568453959926653E-2</v>
          </cell>
          <cell r="V314">
            <v>9.1754342912873946E-2</v>
          </cell>
          <cell r="W314">
            <v>9.1714852353133591E-2</v>
          </cell>
          <cell r="X314">
            <v>7.8789020380148803E-2</v>
          </cell>
          <cell r="Y314">
            <v>0.11311743251096261</v>
          </cell>
          <cell r="Z314">
            <v>0.14776597898876512</v>
          </cell>
          <cell r="AA314">
            <v>0.14295583117725463</v>
          </cell>
          <cell r="AB314">
            <v>0.14704046316269101</v>
          </cell>
          <cell r="AC314">
            <v>0.11755151403260042</v>
          </cell>
          <cell r="AD314">
            <v>0.1396777589263489</v>
          </cell>
          <cell r="AE314">
            <v>0.12792296422801128</v>
          </cell>
          <cell r="AF314">
            <v>0.10284371158277725</v>
          </cell>
          <cell r="AG314">
            <v>7.9844215253114345E-2</v>
          </cell>
          <cell r="AH314">
            <v>0.10615401058279506</v>
          </cell>
          <cell r="AI314">
            <v>0.10802110526653923</v>
          </cell>
        </row>
        <row r="315">
          <cell r="A315" t="str">
            <v>ÖvrIntprocentQ</v>
          </cell>
          <cell r="C315" t="str">
            <v>Övriga intäkter/Rörelseintäkter, %</v>
          </cell>
          <cell r="E315">
            <v>0.10074882064178085</v>
          </cell>
          <cell r="F315">
            <v>0.12588848665134741</v>
          </cell>
          <cell r="G315">
            <v>0.11549129116058408</v>
          </cell>
          <cell r="H315">
            <v>0.16580828875919154</v>
          </cell>
          <cell r="I315">
            <v>0.1053524403370102</v>
          </cell>
          <cell r="J315">
            <v>0.16539906264298931</v>
          </cell>
          <cell r="K315">
            <v>0.1095797935411906</v>
          </cell>
          <cell r="L315">
            <v>0.14271436999124307</v>
          </cell>
          <cell r="M315">
            <v>0.13587240715623297</v>
          </cell>
          <cell r="N315">
            <v>0.20781251692274832</v>
          </cell>
          <cell r="O315">
            <v>0.16416348429354585</v>
          </cell>
          <cell r="P315">
            <v>0.18452300662925178</v>
          </cell>
          <cell r="Q315">
            <v>0.1689959656315109</v>
          </cell>
          <cell r="R315">
            <v>0.19492959514585148</v>
          </cell>
          <cell r="S315">
            <v>0.15019120700119801</v>
          </cell>
          <cell r="T315">
            <v>0.21427602843549329</v>
          </cell>
          <cell r="U315">
            <v>0.20250200719752343</v>
          </cell>
          <cell r="V315">
            <v>0.22695347429859852</v>
          </cell>
          <cell r="W315">
            <v>0.19037609045828394</v>
          </cell>
          <cell r="X315">
            <v>0.22919752180289835</v>
          </cell>
          <cell r="Y315">
            <v>8.1459305205230953E-2</v>
          </cell>
          <cell r="Z315">
            <v>8.9221312026032992E-2</v>
          </cell>
          <cell r="AA315">
            <v>7.4663521694463691E-2</v>
          </cell>
          <cell r="AB315">
            <v>0.10684877753375106</v>
          </cell>
          <cell r="AC315">
            <v>7.6016219255350279E-2</v>
          </cell>
          <cell r="AD315">
            <v>4.4764619008855311E-2</v>
          </cell>
          <cell r="AE315">
            <v>3.8504722887021191E-2</v>
          </cell>
          <cell r="AF315">
            <v>0.14642909310594404</v>
          </cell>
          <cell r="AG315">
            <v>4.6173700290404074E-2</v>
          </cell>
          <cell r="AH315">
            <v>6.6018612074817476E-2</v>
          </cell>
          <cell r="AI315">
            <v>8.6810572438827685E-2</v>
          </cell>
        </row>
        <row r="317">
          <cell r="A317" t="str">
            <v>IntPerSparkrQ</v>
          </cell>
          <cell r="C317" t="str">
            <v>Rörelseintäkter/Sparkapital, %</v>
          </cell>
          <cell r="J317">
            <v>5.1466578675952706E-3</v>
          </cell>
          <cell r="K317">
            <v>4.5688591963190693E-3</v>
          </cell>
          <cell r="L317">
            <v>5.339671876551E-3</v>
          </cell>
          <cell r="M317">
            <v>4.5518992128351842E-3</v>
          </cell>
          <cell r="N317">
            <v>4.3971632348185925E-3</v>
          </cell>
          <cell r="O317">
            <v>4.0100437825891086E-3</v>
          </cell>
          <cell r="P317">
            <v>4.1771428711928384E-3</v>
          </cell>
          <cell r="Q317">
            <v>3.9577282728392041E-3</v>
          </cell>
          <cell r="R317">
            <v>3.5561623859656465E-3</v>
          </cell>
          <cell r="S317">
            <v>3.2890873137883642E-3</v>
          </cell>
          <cell r="T317">
            <v>3.8415926372324018E-3</v>
          </cell>
          <cell r="U317">
            <v>3.7968859879263855E-3</v>
          </cell>
          <cell r="V317">
            <v>3.2716702748123083E-3</v>
          </cell>
          <cell r="W317">
            <v>3.3484132227238127E-3</v>
          </cell>
          <cell r="X317">
            <v>3.3841914781787639E-3</v>
          </cell>
          <cell r="Y317">
            <v>3.3685664850508865E-3</v>
          </cell>
          <cell r="Z317">
            <v>3.2704222366007393E-3</v>
          </cell>
          <cell r="AA317">
            <v>3.4007789124151071E-3</v>
          </cell>
          <cell r="AB317">
            <v>3.3503367630761866E-3</v>
          </cell>
          <cell r="AC317">
            <v>5.5849104982571528E-3</v>
          </cell>
          <cell r="AD317">
            <v>5.1740160685454619E-3</v>
          </cell>
          <cell r="AE317">
            <v>4.8011444000572697E-3</v>
          </cell>
          <cell r="AF317">
            <v>5.2075651059349699E-3</v>
          </cell>
          <cell r="AG317">
            <v>6.2509316110694576E-3</v>
          </cell>
          <cell r="AH317">
            <v>4.4083799890719802E-3</v>
          </cell>
          <cell r="AI317">
            <v>4.2355736443077984E-3</v>
          </cell>
        </row>
        <row r="318">
          <cell r="A318" t="str">
            <v>KostnPerSparkrQ</v>
          </cell>
          <cell r="C318" t="str">
            <v>Rörelsekostnader/Sparkapital, %</v>
          </cell>
          <cell r="J318">
            <v>2.3750135591870179E-3</v>
          </cell>
          <cell r="K318">
            <v>2.1087286633062448E-3</v>
          </cell>
          <cell r="L318">
            <v>2.3459046358659456E-3</v>
          </cell>
          <cell r="M318">
            <v>2.2261488465793646E-3</v>
          </cell>
          <cell r="N318">
            <v>2.1774745736753355E-3</v>
          </cell>
          <cell r="O318">
            <v>1.7666100852495154E-3</v>
          </cell>
          <cell r="P318">
            <v>2.1838612504933535E-3</v>
          </cell>
          <cell r="Q318">
            <v>2.0088470253483595E-3</v>
          </cell>
          <cell r="R318">
            <v>1.9871561019212179E-3</v>
          </cell>
          <cell r="S318">
            <v>1.7844192699167922E-3</v>
          </cell>
          <cell r="T318">
            <v>2.2309858599246731E-3</v>
          </cell>
          <cell r="U318">
            <v>2.1293580943879155E-3</v>
          </cell>
          <cell r="V318">
            <v>2.0550602772873208E-3</v>
          </cell>
          <cell r="W318">
            <v>1.6868905008416667E-3</v>
          </cell>
          <cell r="X318">
            <v>1.9593450085112368E-3</v>
          </cell>
          <cell r="Y318">
            <v>2.0670774730765277E-3</v>
          </cell>
          <cell r="Z318">
            <v>1.9085738822807801E-3</v>
          </cell>
          <cell r="AA318">
            <v>1.6123359451822269E-3</v>
          </cell>
          <cell r="AB318">
            <v>1.9069724712443953E-3</v>
          </cell>
          <cell r="AC318">
            <v>1.8445029001459951E-3</v>
          </cell>
          <cell r="AD318">
            <v>1.8247999292324416E-3</v>
          </cell>
          <cell r="AE318">
            <v>1.4784677506448443E-3</v>
          </cell>
          <cell r="AF318">
            <v>1.6308760428532154E-3</v>
          </cell>
          <cell r="AG318">
            <v>1.3226487371858795E-3</v>
          </cell>
          <cell r="AH318">
            <v>1.2656939342882891E-3</v>
          </cell>
          <cell r="AI318">
            <v>1.062914433515847E-3</v>
          </cell>
        </row>
        <row r="320">
          <cell r="A320" t="str">
            <v>SparkapPerKundQ</v>
          </cell>
          <cell r="C320" t="str">
            <v>Sparkapital/Kund, SEK</v>
          </cell>
          <cell r="Y320">
            <v>385480.55989338137</v>
          </cell>
          <cell r="Z320">
            <v>398179.0801777087</v>
          </cell>
          <cell r="AA320">
            <v>401545.37883230473</v>
          </cell>
          <cell r="AB320">
            <v>417564.04861041717</v>
          </cell>
          <cell r="AC320">
            <v>346502.79716644529</v>
          </cell>
          <cell r="AD320">
            <v>398532.91142818163</v>
          </cell>
          <cell r="AE320">
            <v>430386.20033028704</v>
          </cell>
          <cell r="AF320">
            <v>445595.3880694941</v>
          </cell>
          <cell r="AG320">
            <v>456295.61625392869</v>
          </cell>
          <cell r="AH320">
            <v>469997.24856311816</v>
          </cell>
          <cell r="AI320">
            <v>462733.7096408786</v>
          </cell>
        </row>
        <row r="321">
          <cell r="A321" t="str">
            <v>IntPerKundQ</v>
          </cell>
          <cell r="C321" t="str">
            <v>Rörelseintäkter/Kund, årsbasis, SEK</v>
          </cell>
          <cell r="I321">
            <v>2266.6694807790095</v>
          </cell>
          <cell r="J321">
            <v>2178.5056272792626</v>
          </cell>
          <cell r="K321">
            <v>1856.1725555271171</v>
          </cell>
          <cell r="L321">
            <v>2195.4491099231768</v>
          </cell>
          <cell r="M321">
            <v>1864.5068567149237</v>
          </cell>
          <cell r="N321">
            <v>1746.8060906967146</v>
          </cell>
          <cell r="O321">
            <v>1653.3361486020317</v>
          </cell>
          <cell r="P321">
            <v>1763.9560462780157</v>
          </cell>
          <cell r="Q321">
            <v>1658.0446188028814</v>
          </cell>
          <cell r="R321">
            <v>1499.6673280454688</v>
          </cell>
          <cell r="S321">
            <v>1389.5311233493601</v>
          </cell>
          <cell r="T321">
            <v>1571.1855693141536</v>
          </cell>
          <cell r="U321">
            <v>1482.8872163618428</v>
          </cell>
          <cell r="V321">
            <v>1274.6555411563629</v>
          </cell>
          <cell r="W321">
            <v>1348.1990032450244</v>
          </cell>
          <cell r="X321">
            <v>1297.5439953087982</v>
          </cell>
          <cell r="Y321">
            <v>1253.7034191639166</v>
          </cell>
          <cell r="Z321">
            <v>1281.8183913903169</v>
          </cell>
          <cell r="AA321">
            <v>1359.9573065953682</v>
          </cell>
          <cell r="AB321">
            <v>1372.6692892870317</v>
          </cell>
          <cell r="AC321">
            <v>2125.2435561888565</v>
          </cell>
          <cell r="AD321">
            <v>1930.6902700270418</v>
          </cell>
          <cell r="AE321">
            <v>1992.5009759365071</v>
          </cell>
          <cell r="AF321">
            <v>2282.2353083001617</v>
          </cell>
          <cell r="AG321">
            <v>2820.713092150409</v>
          </cell>
          <cell r="AH321">
            <v>2042.5961582511959</v>
          </cell>
          <cell r="AI321">
            <v>1974.9782006223604</v>
          </cell>
        </row>
        <row r="322">
          <cell r="A322" t="str">
            <v>KostnPerKundQ</v>
          </cell>
          <cell r="C322" t="str">
            <v>Rörelsekostnader/Kund, årsbasis, SEK</v>
          </cell>
          <cell r="I322">
            <v>-1078.2137621032189</v>
          </cell>
          <cell r="J322">
            <v>-1005.3087919696835</v>
          </cell>
          <cell r="K322">
            <v>-856.70494617910435</v>
          </cell>
          <cell r="L322">
            <v>-964.53759029538617</v>
          </cell>
          <cell r="M322">
            <v>-910.62566944739274</v>
          </cell>
          <cell r="N322">
            <v>-865.01811384089524</v>
          </cell>
          <cell r="O322">
            <v>-728.37117816756324</v>
          </cell>
          <cell r="P322">
            <v>-922.21773969152332</v>
          </cell>
          <cell r="Q322">
            <v>-841.58329495106932</v>
          </cell>
          <cell r="R322">
            <v>-838.00253147557771</v>
          </cell>
          <cell r="S322">
            <v>-753.85840389802104</v>
          </cell>
          <cell r="T322">
            <v>-912.4582222707744</v>
          </cell>
          <cell r="U322">
            <v>-831.62831522073986</v>
          </cell>
          <cell r="V322">
            <v>-800.65952550945633</v>
          </cell>
          <cell r="W322">
            <v>-679.20651978796207</v>
          </cell>
          <cell r="X322">
            <v>-751.23891982028306</v>
          </cell>
          <cell r="Y322">
            <v>-769.31896911442561</v>
          </cell>
          <cell r="Z322">
            <v>-748.05175804380076</v>
          </cell>
          <cell r="AA322">
            <v>-644.76642140189529</v>
          </cell>
          <cell r="AB322">
            <v>-781.30729293897377</v>
          </cell>
          <cell r="AC322">
            <v>-701.89448946947834</v>
          </cell>
          <cell r="AD322">
            <v>-680.92627109013654</v>
          </cell>
          <cell r="AE322">
            <v>-613.5721383458839</v>
          </cell>
          <cell r="AF322">
            <v>-714.73765814632043</v>
          </cell>
          <cell r="AG322">
            <v>-596.84105369025463</v>
          </cell>
          <cell r="AH322">
            <v>-586.451615810764</v>
          </cell>
          <cell r="AI322">
            <v>-495.61948666429851</v>
          </cell>
        </row>
        <row r="324">
          <cell r="C324" t="str">
            <v>Antal courtagegenererande affärer - kvartal</v>
          </cell>
          <cell r="M324">
            <v>3105235</v>
          </cell>
          <cell r="N324">
            <v>2906648</v>
          </cell>
          <cell r="O324">
            <v>3100272</v>
          </cell>
          <cell r="P324">
            <v>3506966</v>
          </cell>
          <cell r="Q324">
            <v>3585630</v>
          </cell>
          <cell r="R324">
            <v>3145854</v>
          </cell>
          <cell r="S324">
            <v>3296998</v>
          </cell>
          <cell r="T324">
            <v>3890364</v>
          </cell>
          <cell r="U324">
            <v>3973566</v>
          </cell>
          <cell r="V324">
            <v>3306727</v>
          </cell>
          <cell r="W324">
            <v>3956583</v>
          </cell>
          <cell r="X324">
            <v>3804824</v>
          </cell>
          <cell r="Y324">
            <v>3992247</v>
          </cell>
          <cell r="Z324">
            <v>4070870</v>
          </cell>
          <cell r="AA324">
            <v>4764148</v>
          </cell>
          <cell r="AB324">
            <v>4677220</v>
          </cell>
          <cell r="AC324">
            <v>9169803</v>
          </cell>
          <cell r="AD324">
            <v>9203774</v>
          </cell>
          <cell r="AE324">
            <v>10823861</v>
          </cell>
          <cell r="AF324">
            <v>11571976</v>
          </cell>
          <cell r="AG324">
            <v>17713520</v>
          </cell>
          <cell r="AH324">
            <v>13666839</v>
          </cell>
          <cell r="AI324">
            <v>13345905</v>
          </cell>
        </row>
        <row r="325">
          <cell r="C325" t="str">
            <v>Courtagegenererande omsättning MSEK - kvartal</v>
          </cell>
          <cell r="E325">
            <v>124870.91352118785</v>
          </cell>
          <cell r="F325">
            <v>107855.38592525921</v>
          </cell>
          <cell r="G325">
            <v>102719.56593699366</v>
          </cell>
          <cell r="H325">
            <v>131226.02554411182</v>
          </cell>
          <cell r="I325">
            <v>145169.24919583803</v>
          </cell>
          <cell r="J325">
            <v>144202.03018855338</v>
          </cell>
          <cell r="K325">
            <v>167352.66261884771</v>
          </cell>
          <cell r="L325">
            <v>221817.38741790081</v>
          </cell>
          <cell r="M325">
            <v>168271.05635940001</v>
          </cell>
          <cell r="N325">
            <v>149790.11181480996</v>
          </cell>
          <cell r="O325">
            <v>143933.10623557013</v>
          </cell>
          <cell r="P325">
            <v>152990.0819881701</v>
          </cell>
          <cell r="Q325">
            <v>147165.61446516996</v>
          </cell>
          <cell r="R325">
            <v>128275.43633029002</v>
          </cell>
          <cell r="S325">
            <v>133648.94465943993</v>
          </cell>
          <cell r="T325">
            <v>139907.56670028003</v>
          </cell>
          <cell r="U325">
            <v>143485.76694348999</v>
          </cell>
          <cell r="V325">
            <v>119943.5221076</v>
          </cell>
          <cell r="W325">
            <v>134205.04036695982</v>
          </cell>
          <cell r="X325">
            <v>134744.88481388995</v>
          </cell>
          <cell r="Y325">
            <v>142281.99203869002</v>
          </cell>
          <cell r="Z325">
            <v>125752.08803654998</v>
          </cell>
          <cell r="AA325">
            <v>140803.7417298099</v>
          </cell>
          <cell r="AB325">
            <v>148958.18289446997</v>
          </cell>
          <cell r="AC325">
            <v>282354.21338509</v>
          </cell>
          <cell r="AD325">
            <v>277834.50745608023</v>
          </cell>
          <cell r="AE325">
            <v>288207.45364977984</v>
          </cell>
          <cell r="AF325">
            <v>300385.5275008899</v>
          </cell>
          <cell r="AG325">
            <v>422337.52375935006</v>
          </cell>
          <cell r="AH325">
            <v>337468.08423314005</v>
          </cell>
          <cell r="AI325">
            <v>343587.55654701963</v>
          </cell>
        </row>
        <row r="326">
          <cell r="C326" t="str">
            <v>Courtagegenererande omsättning utland MSEK - kvartal</v>
          </cell>
          <cell r="AC326">
            <v>27853.050443040011</v>
          </cell>
          <cell r="AD326">
            <v>32992.523869479999</v>
          </cell>
          <cell r="AE326">
            <v>35283.792729000001</v>
          </cell>
          <cell r="AF326">
            <v>47609.704072</v>
          </cell>
          <cell r="AG326">
            <v>98224.870314999993</v>
          </cell>
          <cell r="AH326">
            <v>53476.347282419993</v>
          </cell>
          <cell r="AI326">
            <v>50647.427292560002</v>
          </cell>
        </row>
        <row r="327">
          <cell r="A327" t="str">
            <v>AntalCourtAffärerQ</v>
          </cell>
          <cell r="C327" t="str">
            <v>Antal courtagegenererande affärer/handelsdag - kvartal</v>
          </cell>
          <cell r="AC327">
            <v>145552.42857142858</v>
          </cell>
          <cell r="AD327">
            <v>157329.47008547009</v>
          </cell>
          <cell r="AE327">
            <v>163997.89393939395</v>
          </cell>
          <cell r="AF327">
            <v>185151.61600000001</v>
          </cell>
          <cell r="AG327">
            <v>288024.71544715448</v>
          </cell>
          <cell r="AH327">
            <v>229694.77310924369</v>
          </cell>
          <cell r="AI327">
            <v>202210.68181818182</v>
          </cell>
        </row>
        <row r="328">
          <cell r="A328" t="str">
            <v>CourtOmsättningQ</v>
          </cell>
          <cell r="C328" t="str">
            <v>Courtagegenererande omsättning/handelsdag MSEK - kvartal</v>
          </cell>
          <cell r="AC328">
            <v>4481.8129108744442</v>
          </cell>
          <cell r="AD328">
            <v>4749.3078197620553</v>
          </cell>
          <cell r="AE328">
            <v>4366.7796007542402</v>
          </cell>
          <cell r="AF328">
            <v>4806.1684400142385</v>
          </cell>
          <cell r="AG328">
            <v>6867.2768090951231</v>
          </cell>
          <cell r="AH328">
            <v>5671.7325081200006</v>
          </cell>
          <cell r="AI328">
            <v>5205.8720688942367</v>
          </cell>
        </row>
        <row r="329">
          <cell r="A329" t="str">
            <v>CourtOmsättningUtlandQ</v>
          </cell>
          <cell r="C329" t="str">
            <v>Courtagegenererande omsättning utland/handelsdag MSEK - kvartal</v>
          </cell>
          <cell r="AC329">
            <v>442.1119117942859</v>
          </cell>
          <cell r="AD329">
            <v>563.97476699965807</v>
          </cell>
          <cell r="AE329">
            <v>534.60292013636365</v>
          </cell>
          <cell r="AF329">
            <v>761.75526515199999</v>
          </cell>
          <cell r="AG329">
            <v>1597.1523628455284</v>
          </cell>
          <cell r="AH329">
            <v>898.76213920033604</v>
          </cell>
          <cell r="AI329">
            <v>767.38526200848491</v>
          </cell>
        </row>
        <row r="330">
          <cell r="AH330">
            <v>0.15846342152307305</v>
          </cell>
          <cell r="AI330">
            <v>0.14740762966376214</v>
          </cell>
        </row>
        <row r="331">
          <cell r="A331" t="str">
            <v>CourtPerAffärQ</v>
          </cell>
          <cell r="C331" t="str">
            <v>Courtage per affär, SEK</v>
          </cell>
          <cell r="E331">
            <v>70</v>
          </cell>
          <cell r="F331">
            <v>69</v>
          </cell>
          <cell r="G331">
            <v>70</v>
          </cell>
          <cell r="H331">
            <v>64.625064625064624</v>
          </cell>
          <cell r="I331">
            <v>58.98432675842416</v>
          </cell>
          <cell r="J331">
            <v>55.266422038466324</v>
          </cell>
          <cell r="K331">
            <v>58.136972666274637</v>
          </cell>
          <cell r="L331">
            <v>50.964915386033297</v>
          </cell>
          <cell r="M331">
            <v>47.017375496540517</v>
          </cell>
          <cell r="N331">
            <v>41.675636226169409</v>
          </cell>
          <cell r="O331">
            <v>38.697255419314303</v>
          </cell>
          <cell r="P331">
            <v>36.208967945425009</v>
          </cell>
          <cell r="Q331">
            <v>34.737767488901987</v>
          </cell>
          <cell r="R331">
            <v>33.554175140099481</v>
          </cell>
          <cell r="S331">
            <v>33.882846364052902</v>
          </cell>
          <cell r="T331">
            <v>33.178616601156222</v>
          </cell>
          <cell r="U331">
            <v>32.43763203026856</v>
          </cell>
          <cell r="V331">
            <v>30.396875860676431</v>
          </cell>
          <cell r="W331">
            <v>30.075611697732075</v>
          </cell>
          <cell r="X331">
            <v>31.552660442056304</v>
          </cell>
          <cell r="Y331">
            <v>29.903023307832452</v>
          </cell>
          <cell r="Z331">
            <v>27.989006407702437</v>
          </cell>
          <cell r="AA331">
            <v>28.447876212699303</v>
          </cell>
          <cell r="AB331">
            <v>28.050040295424036</v>
          </cell>
          <cell r="AC331">
            <v>29.924745062983003</v>
          </cell>
          <cell r="AD331">
            <v>28.915678294523246</v>
          </cell>
          <cell r="AH331">
            <v>28.915678294523246</v>
          </cell>
        </row>
        <row r="332">
          <cell r="A332" t="str">
            <v>CourtPerDagQ</v>
          </cell>
          <cell r="C332" t="str">
            <v>Courtage per handelsdag, MSEK</v>
          </cell>
          <cell r="E332">
            <v>1.2490151222983885</v>
          </cell>
          <cell r="F332">
            <v>1.056910999000001</v>
          </cell>
          <cell r="G332">
            <v>1.009645481401515</v>
          </cell>
          <cell r="H332">
            <v>1.3158348184146333</v>
          </cell>
          <cell r="I332">
            <v>1.8415763934146361</v>
          </cell>
          <cell r="J332">
            <v>1.8439706983760686</v>
          </cell>
          <cell r="K332">
            <v>1.705520602045455</v>
          </cell>
          <cell r="L332">
            <v>2.3306767084</v>
          </cell>
          <cell r="M332">
            <v>2.0861398009999998</v>
          </cell>
          <cell r="N332">
            <v>1.7827292034146343</v>
          </cell>
          <cell r="O332">
            <v>1.7122143387878785</v>
          </cell>
          <cell r="P332">
            <v>1.9145759771653541</v>
          </cell>
          <cell r="Q332">
            <v>1.9161703170078728</v>
          </cell>
          <cell r="R332">
            <v>1.728327398275862</v>
          </cell>
          <cell r="S332">
            <v>1.625626122307692</v>
          </cell>
          <cell r="T332">
            <v>1.9494005579199962</v>
          </cell>
          <cell r="U332">
            <v>1.961805428064517</v>
          </cell>
          <cell r="V332">
            <v>1.5523872571186428</v>
          </cell>
          <cell r="W332">
            <v>1.7074577578461587</v>
          </cell>
          <cell r="X332">
            <v>1.8056047482926816</v>
          </cell>
          <cell r="Y332">
            <v>1.7826565023809546</v>
          </cell>
          <cell r="Z332">
            <v>1.8232440453913026</v>
          </cell>
          <cell r="AA332">
            <v>1.9043559969696939</v>
          </cell>
          <cell r="AB332">
            <v>2.0007596479674832</v>
          </cell>
          <cell r="AC332">
            <v>4.2516224653798114</v>
          </cell>
          <cell r="AD332">
            <v>4.4455543995451494</v>
          </cell>
          <cell r="AE332">
            <v>4.2833407212635315</v>
          </cell>
          <cell r="AF332">
            <v>4.6628152311086071</v>
          </cell>
          <cell r="AG332">
            <v>7.1325743651311182</v>
          </cell>
          <cell r="AH332">
            <v>5.6085532932217159</v>
          </cell>
          <cell r="AI332">
            <v>4.9959567684347501</v>
          </cell>
        </row>
        <row r="333">
          <cell r="A333" t="str">
            <v>CourtOmsQ</v>
          </cell>
          <cell r="C333" t="str">
            <v>Courtagebrutto/Omsättning, %</v>
          </cell>
          <cell r="E333">
            <v>7.1821209135956735E-4</v>
          </cell>
          <cell r="F333">
            <v>6.572011816696658E-4</v>
          </cell>
          <cell r="G333">
            <v>7.5587306493604136E-4</v>
          </cell>
          <cell r="H333">
            <v>7.1871440698549702E-4</v>
          </cell>
          <cell r="I333">
            <v>8.8595950046208103E-4</v>
          </cell>
          <cell r="J333">
            <v>8.5725058876329619E-4</v>
          </cell>
          <cell r="K333">
            <v>7.8056019758414178E-4</v>
          </cell>
          <cell r="L333">
            <v>7.5439974971274783E-4</v>
          </cell>
          <cell r="M333">
            <v>8.6831953712779872E-4</v>
          </cell>
          <cell r="N333">
            <v>8.4476168825110072E-4</v>
          </cell>
          <cell r="O333">
            <v>9.0866059109394001E-4</v>
          </cell>
          <cell r="P333">
            <v>9.1095232958157679E-4</v>
          </cell>
          <cell r="Q333">
            <v>9.4974631477572308E-4</v>
          </cell>
          <cell r="R333">
            <v>9.2345817242040775E-4</v>
          </cell>
          <cell r="S333">
            <v>9.4004196299597232E-4</v>
          </cell>
          <cell r="T333">
            <v>1.0307655641595176E-3</v>
          </cell>
          <cell r="U333">
            <v>1.0004406921875039E-3</v>
          </cell>
          <cell r="V333">
            <v>9.3409419059323066E-4</v>
          </cell>
          <cell r="W333">
            <v>9.8595326888017824E-4</v>
          </cell>
          <cell r="X333">
            <v>9.8292794507882594E-4</v>
          </cell>
          <cell r="Y333">
            <v>9.406240941130993E-4</v>
          </cell>
          <cell r="Z333">
            <v>1.0037031110236092E-3</v>
          </cell>
          <cell r="AA333">
            <v>1.0659421406428731E-3</v>
          </cell>
          <cell r="AB333">
            <v>9.8056357248584047E-4</v>
          </cell>
          <cell r="AC333">
            <v>1.0831242380396134E-3</v>
          </cell>
          <cell r="AD333">
            <v>1.0771569068946834E-3</v>
          </cell>
          <cell r="AE333">
            <v>1.1358265990156853E-3</v>
          </cell>
          <cell r="AF333">
            <v>1.1291471091895234E-3</v>
          </cell>
          <cell r="AG333">
            <v>1.2201044730129589E-3</v>
          </cell>
          <cell r="AH333">
            <v>1.1454383511210868E-3</v>
          </cell>
          <cell r="AI333">
            <v>1.1114091497016821E-3</v>
          </cell>
        </row>
        <row r="334">
          <cell r="A334" t="str">
            <v>HandelsdagarQ</v>
          </cell>
          <cell r="C334" t="str">
            <v>Handelsdagar, st</v>
          </cell>
          <cell r="E334">
            <v>62</v>
          </cell>
          <cell r="F334">
            <v>57.5</v>
          </cell>
          <cell r="G334">
            <v>66</v>
          </cell>
          <cell r="H334">
            <v>61.5</v>
          </cell>
          <cell r="I334">
            <v>61.5</v>
          </cell>
          <cell r="J334">
            <v>58.5</v>
          </cell>
          <cell r="K334">
            <v>66</v>
          </cell>
          <cell r="L334">
            <v>62.5</v>
          </cell>
          <cell r="M334">
            <v>60</v>
          </cell>
          <cell r="N334">
            <v>61.5</v>
          </cell>
          <cell r="O334">
            <v>66</v>
          </cell>
          <cell r="P334">
            <v>63.5</v>
          </cell>
          <cell r="Q334">
            <v>63.5</v>
          </cell>
          <cell r="R334">
            <v>58</v>
          </cell>
          <cell r="S334">
            <v>65</v>
          </cell>
          <cell r="T334">
            <v>62.5</v>
          </cell>
          <cell r="U334">
            <v>62</v>
          </cell>
          <cell r="V334">
            <v>59</v>
          </cell>
          <cell r="W334">
            <v>65</v>
          </cell>
          <cell r="X334">
            <v>61.5</v>
          </cell>
          <cell r="Y334">
            <v>63</v>
          </cell>
          <cell r="Z334">
            <v>57.5</v>
          </cell>
          <cell r="AA334">
            <v>66</v>
          </cell>
          <cell r="AB334">
            <v>61.5</v>
          </cell>
          <cell r="AC334">
            <v>63</v>
          </cell>
          <cell r="AD334">
            <v>58.5</v>
          </cell>
          <cell r="AE334">
            <v>66</v>
          </cell>
          <cell r="AF334">
            <v>62.5</v>
          </cell>
          <cell r="AG334">
            <v>61.5</v>
          </cell>
          <cell r="AH334">
            <v>59.5</v>
          </cell>
          <cell r="AI334">
            <v>66</v>
          </cell>
        </row>
        <row r="335">
          <cell r="A335" t="str">
            <v>SnittAnställdaQ</v>
          </cell>
          <cell r="C335" t="str">
            <v>Medeltal anställda, st</v>
          </cell>
          <cell r="F335">
            <v>281.5</v>
          </cell>
          <cell r="G335">
            <v>285.5</v>
          </cell>
          <cell r="H335">
            <v>293</v>
          </cell>
          <cell r="I335">
            <v>308</v>
          </cell>
          <cell r="J335">
            <v>322</v>
          </cell>
          <cell r="K335">
            <v>332</v>
          </cell>
          <cell r="L335">
            <v>337</v>
          </cell>
          <cell r="M335">
            <v>332</v>
          </cell>
          <cell r="N335">
            <v>331</v>
          </cell>
          <cell r="O335">
            <v>343.5</v>
          </cell>
          <cell r="P335">
            <v>360</v>
          </cell>
          <cell r="Q335">
            <v>369.5</v>
          </cell>
          <cell r="R335">
            <v>376.5</v>
          </cell>
          <cell r="S335">
            <v>392</v>
          </cell>
          <cell r="T335">
            <v>397.67877419354841</v>
          </cell>
          <cell r="U335">
            <v>392.50433306451612</v>
          </cell>
          <cell r="V335">
            <v>400.93165887096768</v>
          </cell>
          <cell r="W335">
            <v>411.56967916666662</v>
          </cell>
          <cell r="X335">
            <v>419.11296485215053</v>
          </cell>
          <cell r="Y335">
            <v>420.64429697580653</v>
          </cell>
          <cell r="Z335">
            <v>418.14040545698936</v>
          </cell>
          <cell r="AA335">
            <v>430.14549416666671</v>
          </cell>
          <cell r="AB335">
            <v>443.77204514137793</v>
          </cell>
          <cell r="AC335">
            <v>452.27204514137793</v>
          </cell>
          <cell r="AD335">
            <v>466</v>
          </cell>
          <cell r="AE335">
            <v>487</v>
          </cell>
          <cell r="AF335">
            <v>506</v>
          </cell>
          <cell r="AG335">
            <v>518</v>
          </cell>
          <cell r="AH335">
            <v>545</v>
          </cell>
          <cell r="AI335">
            <v>581</v>
          </cell>
        </row>
        <row r="336">
          <cell r="A336" t="str">
            <v>DriftstillgQ</v>
          </cell>
          <cell r="C336" t="str">
            <v>Driftstillgänglighet plattform, %</v>
          </cell>
          <cell r="E336">
            <v>0.997</v>
          </cell>
          <cell r="F336">
            <v>0.996</v>
          </cell>
          <cell r="G336">
            <v>0.999</v>
          </cell>
          <cell r="H336">
            <v>0.998</v>
          </cell>
          <cell r="I336">
            <v>0.998</v>
          </cell>
          <cell r="J336">
            <v>1</v>
          </cell>
          <cell r="K336">
            <v>1</v>
          </cell>
          <cell r="L336">
            <v>1</v>
          </cell>
          <cell r="M336">
            <v>0.99960000000000004</v>
          </cell>
          <cell r="N336">
            <v>0.99970000000000003</v>
          </cell>
          <cell r="O336">
            <v>1</v>
          </cell>
          <cell r="P336">
            <v>0.99609999999999999</v>
          </cell>
          <cell r="Q336">
            <v>0.99950000000000006</v>
          </cell>
          <cell r="R336">
            <v>1</v>
          </cell>
          <cell r="S336">
            <v>1</v>
          </cell>
          <cell r="T336">
            <v>0.99809999999999999</v>
          </cell>
          <cell r="U336">
            <v>1</v>
          </cell>
          <cell r="V336">
            <v>1</v>
          </cell>
          <cell r="W336">
            <v>1</v>
          </cell>
          <cell r="X336">
            <v>1</v>
          </cell>
          <cell r="Y336">
            <v>0.99900404606286963</v>
          </cell>
          <cell r="Z336">
            <v>0.99770000000000003</v>
          </cell>
          <cell r="AA336">
            <v>0.99939999999999996</v>
          </cell>
          <cell r="AB336">
            <v>0.99919999999999998</v>
          </cell>
          <cell r="AC336">
            <v>0.99809999999999999</v>
          </cell>
          <cell r="AD336">
            <v>1</v>
          </cell>
          <cell r="AE336">
            <v>0.998</v>
          </cell>
          <cell r="AF336">
            <v>1</v>
          </cell>
          <cell r="AG336">
            <v>0.99945701357466066</v>
          </cell>
          <cell r="AH336">
            <v>1</v>
          </cell>
          <cell r="AI336">
            <v>0.99984917043740573</v>
          </cell>
        </row>
        <row r="338">
          <cell r="C338" t="str">
            <v>Ekonomisk översikt - YTD (kSEK)</v>
          </cell>
        </row>
        <row r="339">
          <cell r="A339" t="str">
            <v>BruttocourtageYTD</v>
          </cell>
          <cell r="C339" t="str">
            <v>Courtageintäkter (brutto)</v>
          </cell>
          <cell r="E339">
            <v>89683.799950032</v>
          </cell>
          <cell r="F339">
            <v>160566.48702955019</v>
          </cell>
          <cell r="G339">
            <v>238209.44016324537</v>
          </cell>
          <cell r="H339">
            <v>332523.4752932454</v>
          </cell>
          <cell r="I339">
            <v>128614.07550000001</v>
          </cell>
          <cell r="J339">
            <v>252231.35078000001</v>
          </cell>
          <cell r="K339">
            <v>382860.17817999999</v>
          </cell>
          <cell r="L339">
            <v>550199.15972999996</v>
          </cell>
          <cell r="M339">
            <v>146113.04576999997</v>
          </cell>
          <cell r="N339">
            <v>272649.99351</v>
          </cell>
          <cell r="O339">
            <v>403436.33490000002</v>
          </cell>
          <cell r="P339">
            <v>542803.00649000006</v>
          </cell>
          <cell r="Q339">
            <v>139770</v>
          </cell>
          <cell r="R339">
            <v>258227</v>
          </cell>
          <cell r="S339">
            <v>383862.61628999998</v>
          </cell>
          <cell r="T339">
            <v>528074.51820999943</v>
          </cell>
          <cell r="U339">
            <v>143549</v>
          </cell>
          <cell r="V339">
            <v>255587.54719999991</v>
          </cell>
          <cell r="W339">
            <v>387907.44545000023</v>
          </cell>
          <cell r="X339">
            <v>520351.95819000015</v>
          </cell>
          <cell r="Y339">
            <v>133833.86986999999</v>
          </cell>
          <cell r="Z339">
            <v>260051.63185000001</v>
          </cell>
          <cell r="AA339">
            <v>410140.27371999982</v>
          </cell>
          <cell r="AB339">
            <v>556203.24169000052</v>
          </cell>
          <cell r="AC339">
            <v>305824.69223000004</v>
          </cell>
          <cell r="AD339">
            <v>605096.05090999929</v>
          </cell>
          <cell r="AE339">
            <v>932449.74279999943</v>
          </cell>
          <cell r="AF339">
            <v>1271629.1928199993</v>
          </cell>
          <cell r="AG339">
            <v>515295.90185999981</v>
          </cell>
          <cell r="AH339">
            <v>901844.78781999974</v>
          </cell>
          <cell r="AI339">
            <v>1283711.1418900015</v>
          </cell>
        </row>
        <row r="340">
          <cell r="A340" t="str">
            <v>CourtageIntYTD</v>
          </cell>
          <cell r="C340" t="str">
            <v>Courtageintäkter</v>
          </cell>
          <cell r="E340">
            <v>77438.93758250009</v>
          </cell>
          <cell r="F340">
            <v>138211.32002500014</v>
          </cell>
          <cell r="G340">
            <v>204847.92179750011</v>
          </cell>
          <cell r="H340">
            <v>285771.76313000004</v>
          </cell>
          <cell r="I340">
            <v>113256.94819500012</v>
          </cell>
          <cell r="J340">
            <v>221129.23405000014</v>
          </cell>
          <cell r="K340">
            <v>333693.59378500015</v>
          </cell>
          <cell r="L340">
            <v>479360.88806000014</v>
          </cell>
          <cell r="M340">
            <v>125168.38805999998</v>
          </cell>
          <cell r="N340">
            <v>234806.23407000001</v>
          </cell>
          <cell r="O340">
            <v>347812.38043000002</v>
          </cell>
          <cell r="P340">
            <v>469387.95498000004</v>
          </cell>
          <cell r="Q340">
            <v>121676.81512999993</v>
          </cell>
          <cell r="R340">
            <v>221919.80422999995</v>
          </cell>
          <cell r="S340">
            <v>327585.50217999995</v>
          </cell>
          <cell r="T340">
            <v>449423.03704999969</v>
          </cell>
          <cell r="U340">
            <v>121631.93654000005</v>
          </cell>
          <cell r="V340">
            <v>213222.78470999998</v>
          </cell>
          <cell r="W340">
            <v>324207.53897000029</v>
          </cell>
          <cell r="X340">
            <v>435252.23099000019</v>
          </cell>
          <cell r="Y340">
            <v>112307.35965000014</v>
          </cell>
          <cell r="Z340">
            <v>217143.89226000005</v>
          </cell>
          <cell r="AA340">
            <v>342831.38805999985</v>
          </cell>
          <cell r="AB340">
            <v>465878.10641000007</v>
          </cell>
          <cell r="AC340">
            <v>267852.21531892812</v>
          </cell>
          <cell r="AD340">
            <v>527917.14769231935</v>
          </cell>
          <cell r="AE340">
            <v>810617.63529571239</v>
          </cell>
          <cell r="AF340">
            <v>1102043.5872400003</v>
          </cell>
          <cell r="AG340">
            <v>438653.3234555638</v>
          </cell>
          <cell r="AH340">
            <v>772362.24440225586</v>
          </cell>
          <cell r="AI340">
            <v>1102095.3911189493</v>
          </cell>
        </row>
        <row r="341">
          <cell r="A341" t="str">
            <v>FondprovisbruttoYTD</v>
          </cell>
          <cell r="C341" t="str">
            <v>Fondprovisioner (brutto)</v>
          </cell>
          <cell r="AC341">
            <v>96299.049140000017</v>
          </cell>
          <cell r="AD341">
            <v>184379.41988</v>
          </cell>
          <cell r="AE341">
            <v>293340.86057000002</v>
          </cell>
          <cell r="AF341">
            <v>417976.28688000003</v>
          </cell>
          <cell r="AG341">
            <v>151675.26053000006</v>
          </cell>
          <cell r="AH341">
            <v>318819.32798000006</v>
          </cell>
          <cell r="AI341">
            <v>498054.83956000005</v>
          </cell>
        </row>
        <row r="342">
          <cell r="A342" t="str">
            <v>FondprovisYTD</v>
          </cell>
          <cell r="C342" t="str">
            <v>Fondprovisioner</v>
          </cell>
          <cell r="E342">
            <v>24548.2448</v>
          </cell>
          <cell r="F342">
            <v>51596.766730000003</v>
          </cell>
          <cell r="G342">
            <v>82545.964880000014</v>
          </cell>
          <cell r="H342">
            <v>113835.57535000003</v>
          </cell>
          <cell r="I342">
            <v>39713.381110000017</v>
          </cell>
          <cell r="J342">
            <v>83504.134970000028</v>
          </cell>
          <cell r="K342">
            <v>121285.23852000004</v>
          </cell>
          <cell r="L342">
            <v>159669.38581000004</v>
          </cell>
          <cell r="M342">
            <v>36986.008099999999</v>
          </cell>
          <cell r="N342">
            <v>75208.68187</v>
          </cell>
          <cell r="O342">
            <v>119665.82083999999</v>
          </cell>
          <cell r="P342">
            <v>167522.05773</v>
          </cell>
          <cell r="Q342">
            <v>52504.774629999978</v>
          </cell>
          <cell r="R342">
            <v>113504.95214999998</v>
          </cell>
          <cell r="S342">
            <v>175265.41995999997</v>
          </cell>
          <cell r="T342">
            <v>239654.20903</v>
          </cell>
          <cell r="U342">
            <v>72065.722270000013</v>
          </cell>
          <cell r="V342">
            <v>146494.78735000003</v>
          </cell>
          <cell r="W342">
            <v>227255.53012000007</v>
          </cell>
          <cell r="X342">
            <v>300917.60233000002</v>
          </cell>
          <cell r="Y342">
            <v>71698.814530000018</v>
          </cell>
          <cell r="Z342">
            <v>154315.68130000003</v>
          </cell>
          <cell r="AA342">
            <v>240626.24439000004</v>
          </cell>
          <cell r="AB342">
            <v>331963.05083000008</v>
          </cell>
          <cell r="AC342">
            <v>96299.049140000017</v>
          </cell>
          <cell r="AD342">
            <v>184379.41988</v>
          </cell>
          <cell r="AE342">
            <v>293340.86057000002</v>
          </cell>
          <cell r="AF342">
            <v>417976.28688000003</v>
          </cell>
          <cell r="AG342">
            <v>150240.63441000009</v>
          </cell>
          <cell r="AH342">
            <v>311669.69676000008</v>
          </cell>
          <cell r="AI342">
            <v>484993.90579000011</v>
          </cell>
        </row>
        <row r="343">
          <cell r="A343" t="str">
            <v>ValutanettoYTD</v>
          </cell>
          <cell r="C343" t="str">
            <v>Valutanetto</v>
          </cell>
          <cell r="Y343">
            <v>31567.26228000001</v>
          </cell>
          <cell r="Z343">
            <v>60885.028610000008</v>
          </cell>
          <cell r="AA343">
            <v>93794.952320000011</v>
          </cell>
          <cell r="AB343">
            <v>124635.17393000002</v>
          </cell>
          <cell r="AC343">
            <v>72656.789439999993</v>
          </cell>
          <cell r="AD343">
            <v>153204.60559999998</v>
          </cell>
          <cell r="AE343">
            <v>241180.52734999999</v>
          </cell>
          <cell r="AF343">
            <v>355193.85960999998</v>
          </cell>
          <cell r="AG343">
            <v>247285.86343999999</v>
          </cell>
          <cell r="AH343">
            <v>375971.34427</v>
          </cell>
          <cell r="AI343">
            <v>490425.07169000001</v>
          </cell>
        </row>
        <row r="344">
          <cell r="A344" t="str">
            <v>RäntenettoYTD</v>
          </cell>
          <cell r="C344" t="str">
            <v>Räntenetto</v>
          </cell>
          <cell r="E344">
            <v>49235.587370000001</v>
          </cell>
          <cell r="F344">
            <v>101495.55905000001</v>
          </cell>
          <cell r="G344">
            <v>146971.54954000001</v>
          </cell>
          <cell r="H344">
            <v>191509.71055000002</v>
          </cell>
          <cell r="I344">
            <v>43277.581319999998</v>
          </cell>
          <cell r="J344">
            <v>79449.647020000004</v>
          </cell>
          <cell r="K344">
            <v>108309.04826000001</v>
          </cell>
          <cell r="L344">
            <v>138719.62313000002</v>
          </cell>
          <cell r="M344">
            <v>31476.233399999976</v>
          </cell>
          <cell r="N344">
            <v>58431.423829999971</v>
          </cell>
          <cell r="O344">
            <v>83758.328629999945</v>
          </cell>
          <cell r="P344">
            <v>114268.73663999999</v>
          </cell>
          <cell r="Q344">
            <v>28987.895820000005</v>
          </cell>
          <cell r="R344">
            <v>55769.780660000019</v>
          </cell>
          <cell r="S344">
            <v>80969.958630000037</v>
          </cell>
          <cell r="T344">
            <v>107508.67403000002</v>
          </cell>
          <cell r="U344">
            <v>22673.125290000022</v>
          </cell>
          <cell r="V344">
            <v>45032.178330000039</v>
          </cell>
          <cell r="W344">
            <v>69528.191820000036</v>
          </cell>
          <cell r="X344">
            <v>90557.934590000077</v>
          </cell>
          <cell r="Y344">
            <v>30276.147699999987</v>
          </cell>
          <cell r="Z344">
            <v>72256.318069999936</v>
          </cell>
          <cell r="AA344">
            <v>117005.66653999993</v>
          </cell>
          <cell r="AB344">
            <v>165333.36158999996</v>
          </cell>
          <cell r="AC344">
            <v>63672.363070000065</v>
          </cell>
          <cell r="AD344">
            <v>137093.16443</v>
          </cell>
          <cell r="AE344">
            <v>210700.09041</v>
          </cell>
          <cell r="AF344">
            <v>283316.14986</v>
          </cell>
          <cell r="AG344">
            <v>76390.721080000032</v>
          </cell>
          <cell r="AH344">
            <v>156384.88946000003</v>
          </cell>
          <cell r="AI344">
            <v>239229.96405000007</v>
          </cell>
        </row>
        <row r="345">
          <cell r="A345" t="str">
            <v>ÖvrIntYTD</v>
          </cell>
          <cell r="C345" t="str">
            <v>Övriga intäkter</v>
          </cell>
          <cell r="E345">
            <v>16942.447290001099</v>
          </cell>
          <cell r="F345">
            <v>37116.726230095999</v>
          </cell>
          <cell r="G345">
            <v>55796.464174297696</v>
          </cell>
          <cell r="H345">
            <v>86953.231054688295</v>
          </cell>
          <cell r="I345">
            <v>23109.878378443798</v>
          </cell>
          <cell r="J345">
            <v>60334.555438443895</v>
          </cell>
          <cell r="K345">
            <v>82388.448548443703</v>
          </cell>
          <cell r="L345">
            <v>118090.4485484437</v>
          </cell>
          <cell r="M345">
            <v>30445.804479999599</v>
          </cell>
          <cell r="N345">
            <v>76304.762759999605</v>
          </cell>
          <cell r="O345">
            <v>112205.89167999901</v>
          </cell>
          <cell r="P345">
            <v>157448.05029999852</v>
          </cell>
          <cell r="Q345">
            <v>41317.276430001599</v>
          </cell>
          <cell r="R345">
            <v>86843.291219994688</v>
          </cell>
          <cell r="S345">
            <v>120887.16473999619</v>
          </cell>
          <cell r="T345">
            <v>178910.6555199943</v>
          </cell>
          <cell r="U345">
            <v>54941.226779995399</v>
          </cell>
          <cell r="V345">
            <v>110246.12688998958</v>
          </cell>
          <cell r="W345">
            <v>161093.4559799791</v>
          </cell>
          <cell r="X345">
            <v>222269.04749997263</v>
          </cell>
          <cell r="Y345">
            <v>21802.775232667474</v>
          </cell>
          <cell r="Z345">
            <v>47150.462874438992</v>
          </cell>
          <cell r="AA345">
            <v>70522.324818008055</v>
          </cell>
          <cell r="AB345">
            <v>105640.24423997727</v>
          </cell>
          <cell r="AC345">
            <v>41174.563777146119</v>
          </cell>
          <cell r="AD345">
            <v>64704.825326791062</v>
          </cell>
          <cell r="AE345">
            <v>86860.458637270378</v>
          </cell>
          <cell r="AF345">
            <v>190251.35698726238</v>
          </cell>
          <cell r="AG345">
            <v>44176.553666838037</v>
          </cell>
          <cell r="AH345">
            <v>93926.006763646321</v>
          </cell>
          <cell r="AI345">
            <v>160503.99938045611</v>
          </cell>
        </row>
        <row r="346">
          <cell r="C346" t="str">
            <v>Rörelsens intäkter</v>
          </cell>
          <cell r="E346">
            <v>168165.21704250117</v>
          </cell>
          <cell r="F346">
            <v>328420.37203509617</v>
          </cell>
          <cell r="G346">
            <v>490161.90039179783</v>
          </cell>
          <cell r="H346">
            <v>678070.28008468845</v>
          </cell>
          <cell r="I346">
            <v>219357.78900344393</v>
          </cell>
          <cell r="J346">
            <v>444417.57147844404</v>
          </cell>
          <cell r="K346">
            <v>645676.32911344396</v>
          </cell>
          <cell r="L346">
            <v>895840.34554844385</v>
          </cell>
          <cell r="M346">
            <v>224076.43403999956</v>
          </cell>
          <cell r="N346">
            <v>444751.10252999957</v>
          </cell>
          <cell r="O346">
            <v>663442.42157999892</v>
          </cell>
          <cell r="P346">
            <v>908626.79964999855</v>
          </cell>
          <cell r="Q346">
            <v>244486.76201000152</v>
          </cell>
          <cell r="R346">
            <v>478037.82825999463</v>
          </cell>
          <cell r="S346">
            <v>704708.04550999613</v>
          </cell>
          <cell r="T346">
            <v>975496.57562999404</v>
          </cell>
          <cell r="U346">
            <v>271312.01087999548</v>
          </cell>
          <cell r="V346">
            <v>514995.87727998965</v>
          </cell>
          <cell r="W346">
            <v>782084.71688997955</v>
          </cell>
          <cell r="X346">
            <v>1048996.8154099728</v>
          </cell>
          <cell r="Y346">
            <v>267652.3593926676</v>
          </cell>
          <cell r="Z346">
            <v>551751.38311443897</v>
          </cell>
          <cell r="AA346">
            <v>864780.57612800784</v>
          </cell>
          <cell r="AB346">
            <v>1193449.9369999773</v>
          </cell>
          <cell r="AC346">
            <v>541654.98074607435</v>
          </cell>
          <cell r="AD346">
            <v>1067299.1629291102</v>
          </cell>
          <cell r="AE346">
            <v>1642699.5722629828</v>
          </cell>
          <cell r="AF346">
            <v>2348781.2405772624</v>
          </cell>
          <cell r="AG346">
            <v>956747.0960524017</v>
          </cell>
          <cell r="AH346">
            <v>1710314.1816559024</v>
          </cell>
          <cell r="AI346">
            <v>2477248.3320294055</v>
          </cell>
        </row>
        <row r="347">
          <cell r="C347" t="str">
            <v>Check</v>
          </cell>
          <cell r="E347">
            <v>0.2046699998609256</v>
          </cell>
          <cell r="F347">
            <v>-1.5172099982155487</v>
          </cell>
          <cell r="G347">
            <v>-0.54184999805875123</v>
          </cell>
          <cell r="H347">
            <v>-1.5521700002718717</v>
          </cell>
          <cell r="I347">
            <v>-0.78900344393332489</v>
          </cell>
          <cell r="J347">
            <v>0.42852155596483499</v>
          </cell>
          <cell r="K347">
            <v>-0.32911344396416098</v>
          </cell>
          <cell r="L347">
            <v>-9.9118443788029253E-2</v>
          </cell>
          <cell r="M347">
            <v>6.1118043959140778E-10</v>
          </cell>
          <cell r="N347">
            <v>0.10600000061094761</v>
          </cell>
          <cell r="O347">
            <v>0.22699999844189733</v>
          </cell>
          <cell r="P347">
            <v>0.22699999716132879</v>
          </cell>
          <cell r="Q347">
            <v>-0.21867000075872056</v>
          </cell>
          <cell r="R347">
            <v>-0.21868999378057197</v>
          </cell>
          <cell r="S347">
            <v>-0.26368999620899558</v>
          </cell>
          <cell r="T347">
            <v>0.36943000822793692</v>
          </cell>
          <cell r="U347">
            <v>5.1222741603851318E-9</v>
          </cell>
          <cell r="V347">
            <v>0.12477001280058175</v>
          </cell>
          <cell r="W347">
            <v>0.12477001931983978</v>
          </cell>
          <cell r="X347">
            <v>0.11877982690930367</v>
          </cell>
          <cell r="Y347">
            <v>8.9057721197605133E-9</v>
          </cell>
          <cell r="Z347">
            <v>3.0051451176404953E-5</v>
          </cell>
          <cell r="AA347">
            <v>-9.6997956279665232E-4</v>
          </cell>
          <cell r="AB347">
            <v>-9.6997292712330818E-4</v>
          </cell>
          <cell r="AC347">
            <v>8.149072527885437E-9</v>
          </cell>
          <cell r="AD347">
            <v>-7.1699793916195631E-3</v>
          </cell>
          <cell r="AE347">
            <v>-7.1699707768857479E-3</v>
          </cell>
          <cell r="AF347">
            <v>3.0037015676498413E-5</v>
          </cell>
          <cell r="AG347">
            <v>-3.3061951398849487E-8</v>
          </cell>
          <cell r="AH347">
            <v>-3.0267983675003052E-8</v>
          </cell>
          <cell r="AI347">
            <v>-5.3085386753082275E-8</v>
          </cell>
        </row>
        <row r="349">
          <cell r="A349" t="str">
            <v>PersonalkostnYTD</v>
          </cell>
          <cell r="C349" t="str">
            <v>Personal</v>
          </cell>
          <cell r="E349">
            <v>-57846.782820000037</v>
          </cell>
          <cell r="F349">
            <v>-116085.91757000011</v>
          </cell>
          <cell r="G349">
            <v>-166828.45405000023</v>
          </cell>
          <cell r="H349">
            <v>-233817.68149000028</v>
          </cell>
          <cell r="I349">
            <v>-64315.448149999895</v>
          </cell>
          <cell r="J349">
            <v>-132876.68741000001</v>
          </cell>
          <cell r="K349">
            <v>-191169.33837000013</v>
          </cell>
          <cell r="L349">
            <v>-266182.68067000026</v>
          </cell>
          <cell r="M349">
            <v>-72228.653290000031</v>
          </cell>
          <cell r="N349">
            <v>-145847.40087000001</v>
          </cell>
          <cell r="O349">
            <v>-207397.1277973766</v>
          </cell>
          <cell r="P349">
            <v>-290442.55455344147</v>
          </cell>
          <cell r="Q349">
            <v>-81501.703506064921</v>
          </cell>
          <cell r="R349">
            <v>-168209.98609655854</v>
          </cell>
          <cell r="S349">
            <v>-241727.82086655858</v>
          </cell>
          <cell r="T349">
            <v>-340073.56073655869</v>
          </cell>
          <cell r="U349">
            <v>-90434.345699999991</v>
          </cell>
          <cell r="V349">
            <v>-187868.93428999989</v>
          </cell>
          <cell r="W349">
            <v>-270581.98019999987</v>
          </cell>
          <cell r="X349">
            <v>-367356.42936999968</v>
          </cell>
          <cell r="Y349">
            <v>-102693.27952000001</v>
          </cell>
          <cell r="Z349">
            <v>-209667.435544796</v>
          </cell>
          <cell r="AA349">
            <v>-299924.95191959199</v>
          </cell>
          <cell r="AB349">
            <v>-414455.06788438797</v>
          </cell>
          <cell r="AC349">
            <v>-111201.153415612</v>
          </cell>
          <cell r="AD349">
            <v>-231353.00335091102</v>
          </cell>
          <cell r="AE349">
            <v>-334136.70794552099</v>
          </cell>
          <cell r="AF349">
            <v>-468736.03128013096</v>
          </cell>
          <cell r="AG349">
            <v>-136689.90085460999</v>
          </cell>
          <cell r="AH349">
            <v>-281535.37161547999</v>
          </cell>
          <cell r="AI349">
            <v>-406134.77516547998</v>
          </cell>
        </row>
        <row r="350">
          <cell r="A350" t="str">
            <v>MFkostnYTD</v>
          </cell>
          <cell r="C350" t="str">
            <v>Marknadsföring</v>
          </cell>
          <cell r="E350">
            <v>-3587.8084099999996</v>
          </cell>
          <cell r="F350">
            <v>-8498.5386599999983</v>
          </cell>
          <cell r="G350">
            <v>-12152.539449999998</v>
          </cell>
          <cell r="H350">
            <v>-19571.627529999998</v>
          </cell>
          <cell r="I350">
            <v>-6875.6804699999993</v>
          </cell>
          <cell r="J350">
            <v>-10582.98893</v>
          </cell>
          <cell r="K350">
            <v>-14392.379720000001</v>
          </cell>
          <cell r="L350">
            <v>-18239.82662</v>
          </cell>
          <cell r="M350">
            <v>-4887.9782999999998</v>
          </cell>
          <cell r="N350">
            <v>-8880.5183199999992</v>
          </cell>
          <cell r="O350">
            <v>-12452.275559999998</v>
          </cell>
          <cell r="P350">
            <v>-21665.55618</v>
          </cell>
          <cell r="Q350">
            <v>-4443.44956</v>
          </cell>
          <cell r="R350">
            <v>-6791.1168799999996</v>
          </cell>
          <cell r="S350">
            <v>-10430.32718</v>
          </cell>
          <cell r="T350">
            <v>-18306.41388</v>
          </cell>
          <cell r="U350">
            <v>-4897.5586900000017</v>
          </cell>
          <cell r="V350">
            <v>-8117.9307900000013</v>
          </cell>
          <cell r="W350">
            <v>-13057.002740000002</v>
          </cell>
          <cell r="X350">
            <v>-16853.893480000002</v>
          </cell>
          <cell r="Y350">
            <v>-8000.3054800000009</v>
          </cell>
          <cell r="Z350">
            <v>-11452.26007</v>
          </cell>
          <cell r="AA350">
            <v>-15906.64407</v>
          </cell>
          <cell r="AB350">
            <v>-18586.831699999999</v>
          </cell>
          <cell r="AC350">
            <v>-7914.3789499999993</v>
          </cell>
          <cell r="AD350">
            <v>-10213.37529</v>
          </cell>
          <cell r="AE350">
            <v>-16988.927159999999</v>
          </cell>
          <cell r="AF350">
            <v>-21814.807560000001</v>
          </cell>
          <cell r="AG350">
            <v>-9324.7276600000005</v>
          </cell>
          <cell r="AH350">
            <v>-12323.129351850081</v>
          </cell>
          <cell r="AI350">
            <v>-16975.195184625201</v>
          </cell>
        </row>
        <row r="351">
          <cell r="C351" t="str">
            <v>Avskrivningar</v>
          </cell>
          <cell r="E351">
            <v>-2091.2610400000003</v>
          </cell>
          <cell r="F351">
            <v>-3907.5343899999998</v>
          </cell>
          <cell r="G351">
            <v>-5816.6201500000006</v>
          </cell>
          <cell r="H351">
            <v>-7460.7646199999999</v>
          </cell>
          <cell r="I351">
            <v>-1928</v>
          </cell>
          <cell r="J351">
            <v>-3956</v>
          </cell>
          <cell r="K351">
            <v>-6037</v>
          </cell>
          <cell r="L351">
            <v>-8220</v>
          </cell>
          <cell r="M351">
            <v>-2322.6096899999998</v>
          </cell>
          <cell r="N351">
            <v>-4290.5186400000002</v>
          </cell>
          <cell r="O351">
            <v>-6107.7731300000005</v>
          </cell>
          <cell r="P351">
            <v>-8059.0044199999993</v>
          </cell>
          <cell r="Q351">
            <v>-1971.1917599999979</v>
          </cell>
          <cell r="R351">
            <v>-4009.1808799999994</v>
          </cell>
          <cell r="S351">
            <v>-9127.0720099999999</v>
          </cell>
          <cell r="T351">
            <v>-12103.937610000001</v>
          </cell>
          <cell r="U351">
            <v>-4711.5806700000003</v>
          </cell>
          <cell r="V351">
            <v>-9550.7908200000002</v>
          </cell>
          <cell r="W351">
            <v>-14482.073780000017</v>
          </cell>
          <cell r="X351">
            <v>-19656.599200000026</v>
          </cell>
          <cell r="Y351">
            <v>-13607.147269999999</v>
          </cell>
          <cell r="Z351">
            <v>-27283.946859999993</v>
          </cell>
          <cell r="AA351">
            <v>-40881.436889999997</v>
          </cell>
          <cell r="AB351">
            <v>-63125.238150000179</v>
          </cell>
          <cell r="AC351">
            <v>-14416.619379999998</v>
          </cell>
          <cell r="AD351">
            <v>-31067.60022</v>
          </cell>
          <cell r="AE351">
            <v>-50168.808179999993</v>
          </cell>
          <cell r="AF351">
            <v>-84189.470720000012</v>
          </cell>
          <cell r="AG351">
            <v>-16981.514320000028</v>
          </cell>
          <cell r="AH351">
            <v>-34276.517640000056</v>
          </cell>
          <cell r="AI351">
            <v>-51987.406860000468</v>
          </cell>
        </row>
        <row r="352">
          <cell r="A352" t="str">
            <v>ÖvrkostnYTD</v>
          </cell>
          <cell r="C352" t="str">
            <v>Övriga kostnader</v>
          </cell>
          <cell r="E352">
            <v>-28609.302093001799</v>
          </cell>
          <cell r="F352">
            <v>-56911.135818951603</v>
          </cell>
          <cell r="G352">
            <v>-91167.561300794303</v>
          </cell>
          <cell r="H352">
            <v>-121891.3833699254</v>
          </cell>
          <cell r="I352">
            <v>-31225.4125376999</v>
          </cell>
          <cell r="J352">
            <v>-60786.562134493797</v>
          </cell>
          <cell r="K352">
            <v>-89493.253407618904</v>
          </cell>
          <cell r="L352">
            <v>-118355.2673074108</v>
          </cell>
          <cell r="M352">
            <v>-29999.751674187632</v>
          </cell>
          <cell r="N352">
            <v>-59698.617827500631</v>
          </cell>
          <cell r="O352">
            <v>-89103.537927087586</v>
          </cell>
          <cell r="P352">
            <v>-123078.98314770788</v>
          </cell>
          <cell r="Q352">
            <v>-36179.21473303315</v>
          </cell>
          <cell r="R352">
            <v>-75591.809442521509</v>
          </cell>
          <cell r="S352">
            <v>-116291.62732749441</v>
          </cell>
          <cell r="T352">
            <v>-164352.03021936212</v>
          </cell>
          <cell r="U352">
            <v>-52112.894749416999</v>
          </cell>
          <cell r="V352">
            <v>-99685.8095230943</v>
          </cell>
          <cell r="W352">
            <v>-141658.56902443292</v>
          </cell>
          <cell r="X352">
            <v>-225446.7752203893</v>
          </cell>
          <cell r="Y352">
            <v>-39940.693621883001</v>
          </cell>
          <cell r="Z352">
            <v>-81634.104940519901</v>
          </cell>
          <cell r="AA352">
            <v>-121734.3091567212</v>
          </cell>
          <cell r="AB352">
            <v>-169354.9575720586</v>
          </cell>
          <cell r="AC352">
            <v>-45357.766575627902</v>
          </cell>
          <cell r="AD352">
            <v>-91642.968364300104</v>
          </cell>
          <cell r="AE352">
            <v>-140171.70676762951</v>
          </cell>
          <cell r="AF352">
            <v>-187852.53861902261</v>
          </cell>
          <cell r="AG352">
            <v>-39444.136012636096</v>
          </cell>
          <cell r="AH352">
            <v>-90662.582360969885</v>
          </cell>
          <cell r="AI352">
            <v>-136161.84677441558</v>
          </cell>
        </row>
        <row r="353">
          <cell r="C353" t="str">
            <v>Rörelsens kostnader före kreditförluster</v>
          </cell>
          <cell r="E353">
            <v>-92135.154363001828</v>
          </cell>
          <cell r="F353">
            <v>-185403.1264389517</v>
          </cell>
          <cell r="G353">
            <v>-275965.17495079455</v>
          </cell>
          <cell r="H353">
            <v>-382741.45700992568</v>
          </cell>
          <cell r="I353">
            <v>-104344.54115769979</v>
          </cell>
          <cell r="J353">
            <v>-208202.23847449379</v>
          </cell>
          <cell r="K353">
            <v>-301091.97149761906</v>
          </cell>
          <cell r="L353">
            <v>-410997.77459741104</v>
          </cell>
          <cell r="M353">
            <v>-109438.99295418766</v>
          </cell>
          <cell r="N353">
            <v>-218717.05565750063</v>
          </cell>
          <cell r="O353">
            <v>-315060.71441446419</v>
          </cell>
          <cell r="P353">
            <v>-443246.09830114938</v>
          </cell>
          <cell r="Q353">
            <v>-124095.55955909807</v>
          </cell>
          <cell r="R353">
            <v>-254602.09329908004</v>
          </cell>
          <cell r="S353">
            <v>-377576.84738405299</v>
          </cell>
          <cell r="T353">
            <v>-534835.94244592078</v>
          </cell>
          <cell r="U353">
            <v>-152156.37980941701</v>
          </cell>
          <cell r="V353">
            <v>-305223.46542309423</v>
          </cell>
          <cell r="W353">
            <v>-439779.62574443285</v>
          </cell>
          <cell r="X353">
            <v>-629313.69727038895</v>
          </cell>
          <cell r="Y353">
            <v>-164241.425891883</v>
          </cell>
          <cell r="Z353">
            <v>-330037.74741531588</v>
          </cell>
          <cell r="AA353">
            <v>-478447.34203631314</v>
          </cell>
          <cell r="AB353">
            <v>-665522.09530644678</v>
          </cell>
          <cell r="AC353">
            <v>-178889.91832123991</v>
          </cell>
          <cell r="AD353">
            <v>-364276.94722521113</v>
          </cell>
          <cell r="AE353">
            <v>-541466.15005315049</v>
          </cell>
          <cell r="AF353">
            <v>-762592.84817915352</v>
          </cell>
          <cell r="AG353">
            <v>-202440.27884724611</v>
          </cell>
          <cell r="AH353">
            <v>-418797.60096830002</v>
          </cell>
          <cell r="AI353">
            <v>-611259.22398452123</v>
          </cell>
        </row>
        <row r="354">
          <cell r="C354" t="str">
            <v>Check</v>
          </cell>
          <cell r="E354">
            <v>-1.6007106751203537E-10</v>
          </cell>
          <cell r="F354">
            <v>1.2906999997212552</v>
          </cell>
          <cell r="G354">
            <v>0.22399999859044328</v>
          </cell>
          <cell r="H354">
            <v>1.4649999967077747</v>
          </cell>
          <cell r="I354">
            <v>1.5411576997867087</v>
          </cell>
          <cell r="J354">
            <v>0.2384744937880896</v>
          </cell>
          <cell r="K354">
            <v>-2.8502380941063166E-2</v>
          </cell>
          <cell r="L354">
            <v>-0.23412133497186005</v>
          </cell>
          <cell r="M354">
            <v>0.22937000067031477</v>
          </cell>
          <cell r="N354">
            <v>0.22937000062665902</v>
          </cell>
          <cell r="O354">
            <v>0.22936999826924875</v>
          </cell>
          <cell r="P354">
            <v>0.22936999739613384</v>
          </cell>
          <cell r="Q354">
            <v>1.9999875803478062E-5</v>
          </cell>
          <cell r="R354">
            <v>1.9998988136649132E-5</v>
          </cell>
          <cell r="S354">
            <v>2.0001956727355719E-5</v>
          </cell>
          <cell r="T354">
            <v>2.1000334527343512E-4</v>
          </cell>
          <cell r="U354">
            <v>9.8953023552894592E-10</v>
          </cell>
          <cell r="V354">
            <v>3.332000004244037</v>
          </cell>
          <cell r="W354">
            <v>4.0004786569625139E-5</v>
          </cell>
          <cell r="X354">
            <v>3.9999955333769321E-5</v>
          </cell>
          <cell r="Y354">
            <v>2.9103830456733704E-11</v>
          </cell>
          <cell r="Z354">
            <v>0.29999999795109034</v>
          </cell>
          <cell r="AA354">
            <v>0.30000000313157216</v>
          </cell>
          <cell r="AB354">
            <v>-1.5133991837501526E-9</v>
          </cell>
          <cell r="AC354">
            <v>-8.7311491370201111E-11</v>
          </cell>
          <cell r="AD354">
            <v>-1.862645149230957E-9</v>
          </cell>
          <cell r="AE354">
            <v>-2.5611370801925659E-9</v>
          </cell>
          <cell r="AF354">
            <v>3.3332651946693659E-4</v>
          </cell>
          <cell r="AG354">
            <v>-4.0745362639427185E-10</v>
          </cell>
          <cell r="AH354">
            <v>-6.0535967350006104E-9</v>
          </cell>
          <cell r="AI354">
            <v>-9.1968104243278503E-9</v>
          </cell>
        </row>
        <row r="356">
          <cell r="C356" t="str">
            <v xml:space="preserve">Resultat före kreditförluster </v>
          </cell>
          <cell r="E356">
            <v>76030.062679499344</v>
          </cell>
          <cell r="F356">
            <v>143017.24559614446</v>
          </cell>
          <cell r="G356">
            <v>214196.72544100328</v>
          </cell>
          <cell r="H356">
            <v>295328.82307476277</v>
          </cell>
          <cell r="I356">
            <v>115013.24784574415</v>
          </cell>
          <cell r="J356">
            <v>236215.33300395025</v>
          </cell>
          <cell r="K356">
            <v>344584.35761582491</v>
          </cell>
          <cell r="L356">
            <v>484842.5709510328</v>
          </cell>
          <cell r="M356">
            <v>114637.44108581189</v>
          </cell>
          <cell r="N356">
            <v>226034.04687249893</v>
          </cell>
          <cell r="O356">
            <v>348381.70716553472</v>
          </cell>
          <cell r="P356">
            <v>465380.70134884916</v>
          </cell>
          <cell r="Q356">
            <v>120391.20245090345</v>
          </cell>
          <cell r="R356">
            <v>223435.73496091459</v>
          </cell>
          <cell r="S356">
            <v>327131.19812594313</v>
          </cell>
          <cell r="T356">
            <v>440660.63318407326</v>
          </cell>
          <cell r="U356">
            <v>119155.63107057847</v>
          </cell>
          <cell r="V356">
            <v>209772.41185689543</v>
          </cell>
          <cell r="W356">
            <v>342305.0911455467</v>
          </cell>
          <cell r="X356">
            <v>419683.11813958385</v>
          </cell>
          <cell r="Y356">
            <v>103410.93350078459</v>
          </cell>
          <cell r="Z356">
            <v>221713.63569912309</v>
          </cell>
          <cell r="AA356">
            <v>386333.2340916947</v>
          </cell>
          <cell r="AB356">
            <v>527927.84169353056</v>
          </cell>
          <cell r="AC356">
            <v>362765.06242483447</v>
          </cell>
          <cell r="AD356">
            <v>703022.21570389904</v>
          </cell>
          <cell r="AE356">
            <v>1101233.4222098324</v>
          </cell>
          <cell r="AF356">
            <v>1586188.3923981087</v>
          </cell>
          <cell r="AG356">
            <v>754306.81720515562</v>
          </cell>
          <cell r="AH356">
            <v>1291516.5806876025</v>
          </cell>
          <cell r="AI356">
            <v>1865989.1080448842</v>
          </cell>
        </row>
        <row r="358">
          <cell r="C358" t="str">
            <v>Kreditförluster, netto</v>
          </cell>
          <cell r="E358">
            <v>-114.011</v>
          </cell>
          <cell r="F358">
            <v>-216.309</v>
          </cell>
          <cell r="G358">
            <v>-125.58</v>
          </cell>
          <cell r="H358">
            <v>390.80300000000005</v>
          </cell>
          <cell r="I358">
            <v>-100.98399999999999</v>
          </cell>
          <cell r="J358">
            <v>-317.00599999999997</v>
          </cell>
          <cell r="K358">
            <v>-362.93199999999996</v>
          </cell>
          <cell r="L358">
            <v>-215.66199999999995</v>
          </cell>
          <cell r="M358">
            <v>-131.101</v>
          </cell>
          <cell r="N358">
            <v>-352.74900000000002</v>
          </cell>
          <cell r="O358">
            <v>-522.67399999999998</v>
          </cell>
          <cell r="P358">
            <v>-504.995</v>
          </cell>
          <cell r="Q358">
            <v>214.654</v>
          </cell>
          <cell r="R358">
            <v>283.20799999999997</v>
          </cell>
          <cell r="S358">
            <v>365.36500000000001</v>
          </cell>
          <cell r="T358">
            <v>390.65300000000002</v>
          </cell>
          <cell r="U358">
            <v>351.78980999999959</v>
          </cell>
          <cell r="V358">
            <v>-349.31219000000038</v>
          </cell>
          <cell r="W358">
            <v>-786.8331900000004</v>
          </cell>
          <cell r="X358">
            <v>-1160.9762900000001</v>
          </cell>
          <cell r="Y358">
            <v>-1181.4269999999999</v>
          </cell>
          <cell r="Z358">
            <v>470.39859999999794</v>
          </cell>
          <cell r="AA358">
            <v>16.032559999998853</v>
          </cell>
          <cell r="AB358">
            <v>329.80079999999907</v>
          </cell>
          <cell r="AC358">
            <v>522.57983000000013</v>
          </cell>
          <cell r="AD358">
            <v>-4444.8779500000001</v>
          </cell>
          <cell r="AE358">
            <v>-4855.673420000001</v>
          </cell>
          <cell r="AF358">
            <v>-3871.4396300000017</v>
          </cell>
          <cell r="AG358">
            <v>1434.9887600000015</v>
          </cell>
          <cell r="AH358">
            <v>575.65556000000038</v>
          </cell>
          <cell r="AI358">
            <v>53.251589999999737</v>
          </cell>
        </row>
        <row r="359">
          <cell r="C359" t="str">
            <v>Andelar i ägarintressens resultat</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cell r="S359">
            <v>0</v>
          </cell>
          <cell r="T359">
            <v>0</v>
          </cell>
          <cell r="U359">
            <v>0</v>
          </cell>
          <cell r="V359">
            <v>0</v>
          </cell>
          <cell r="W359">
            <v>0</v>
          </cell>
          <cell r="X359">
            <v>-655.20000000000005</v>
          </cell>
          <cell r="Y359">
            <v>-2265.2460000000001</v>
          </cell>
          <cell r="Z359">
            <v>-4759.8389999999999</v>
          </cell>
          <cell r="AA359">
            <v>-6400.6119999999992</v>
          </cell>
          <cell r="AB359">
            <v>-8241.9470000000001</v>
          </cell>
          <cell r="AC359">
            <v>-2393.0970000000002</v>
          </cell>
          <cell r="AD359">
            <v>-4488.3339999999998</v>
          </cell>
          <cell r="AE359">
            <v>-5828.2510000000002</v>
          </cell>
          <cell r="AF359">
            <v>-5828.2510000000002</v>
          </cell>
          <cell r="AG359">
            <v>0</v>
          </cell>
          <cell r="AH359">
            <v>0</v>
          </cell>
          <cell r="AI359">
            <v>0</v>
          </cell>
        </row>
        <row r="360">
          <cell r="C360" t="str">
            <v>Rörelseresultat</v>
          </cell>
          <cell r="E360">
            <v>75916.051679499345</v>
          </cell>
          <cell r="F360">
            <v>142800.93659614446</v>
          </cell>
          <cell r="G360">
            <v>214071.14544100329</v>
          </cell>
          <cell r="H360">
            <v>295719.62607476278</v>
          </cell>
          <cell r="I360">
            <v>114912.26384574415</v>
          </cell>
          <cell r="J360">
            <v>235898.32700395025</v>
          </cell>
          <cell r="K360">
            <v>344221.42561582493</v>
          </cell>
          <cell r="L360">
            <v>484626.90895103279</v>
          </cell>
          <cell r="M360">
            <v>114506.3400858119</v>
          </cell>
          <cell r="N360">
            <v>225681.29787249892</v>
          </cell>
          <cell r="O360">
            <v>347859.03316553473</v>
          </cell>
          <cell r="P360">
            <v>464875.70634884917</v>
          </cell>
          <cell r="Q360">
            <v>120605.85645090345</v>
          </cell>
          <cell r="R360">
            <v>223718.9429609146</v>
          </cell>
          <cell r="S360">
            <v>327496.56312594312</v>
          </cell>
          <cell r="T360">
            <v>441051.28618407325</v>
          </cell>
          <cell r="U360">
            <v>119507.42088057847</v>
          </cell>
          <cell r="V360">
            <v>209423.09966689543</v>
          </cell>
          <cell r="W360">
            <v>341518.25795554672</v>
          </cell>
          <cell r="X360">
            <v>417866.94184958382</v>
          </cell>
          <cell r="Y360">
            <v>99964.2605007846</v>
          </cell>
          <cell r="Z360">
            <v>217424.19529912306</v>
          </cell>
          <cell r="AA360">
            <v>379948.6546516947</v>
          </cell>
          <cell r="AB360">
            <v>520015.69549353054</v>
          </cell>
          <cell r="AC360">
            <v>360894.54525483446</v>
          </cell>
          <cell r="AD360">
            <v>694089.00375389901</v>
          </cell>
          <cell r="AE360">
            <v>1090549.4977898325</v>
          </cell>
          <cell r="AF360">
            <v>1576488.7017681089</v>
          </cell>
          <cell r="AG360">
            <v>755741.8059651556</v>
          </cell>
          <cell r="AH360">
            <v>1292092.2362476026</v>
          </cell>
          <cell r="AI360">
            <v>1866042.3596348842</v>
          </cell>
        </row>
        <row r="361">
          <cell r="C361" t="str">
            <v>Check</v>
          </cell>
          <cell r="E361">
            <v>0.20466999970085453</v>
          </cell>
          <cell r="F361">
            <v>-0.22650999849429354</v>
          </cell>
          <cell r="G361">
            <v>-0.31784999946830794</v>
          </cell>
          <cell r="H361">
            <v>-8.7170003564096987E-2</v>
          </cell>
          <cell r="I361">
            <v>0.73615425585012417</v>
          </cell>
          <cell r="J361">
            <v>0.67299604974687099</v>
          </cell>
          <cell r="K361">
            <v>-0.42561582493362948</v>
          </cell>
          <cell r="L361">
            <v>-0.67123977874871343</v>
          </cell>
          <cell r="M361">
            <v>0.22937000128149521</v>
          </cell>
          <cell r="N361">
            <v>0.33537000123760663</v>
          </cell>
          <cell r="O361">
            <v>0.45636999671114609</v>
          </cell>
          <cell r="P361">
            <v>0.45636999455746263</v>
          </cell>
          <cell r="Q361">
            <v>-0.21865000088291708</v>
          </cell>
          <cell r="R361">
            <v>-0.21866999479243532</v>
          </cell>
          <cell r="S361">
            <v>-0.26366999425226822</v>
          </cell>
          <cell r="T361">
            <v>0.36964001157321036</v>
          </cell>
          <cell r="U361">
            <v>6.1118043959140778E-9</v>
          </cell>
          <cell r="V361">
            <v>3.4567700170446187</v>
          </cell>
          <cell r="W361">
            <v>0.1248100241064094</v>
          </cell>
          <cell r="X361">
            <v>0.11881982686463743</v>
          </cell>
          <cell r="Y361">
            <v>8.934875950217247E-9</v>
          </cell>
          <cell r="Z361">
            <v>0.30003004940226674</v>
          </cell>
          <cell r="AA361">
            <v>0.2990300235687755</v>
          </cell>
          <cell r="AB361">
            <v>-9.6997444052249193E-4</v>
          </cell>
          <cell r="AC361">
            <v>8.0326572060585022E-9</v>
          </cell>
          <cell r="AD361">
            <v>-7.1699812542647123E-3</v>
          </cell>
          <cell r="AE361">
            <v>-7.1699733380228281E-3</v>
          </cell>
          <cell r="AF361">
            <v>3.6336365155875683E-4</v>
          </cell>
          <cell r="AG361">
            <v>-3.3527612686157227E-8</v>
          </cell>
          <cell r="AH361">
            <v>-3.6321580410003662E-8</v>
          </cell>
          <cell r="AI361">
            <v>-6.2165781855583191E-8</v>
          </cell>
        </row>
        <row r="363">
          <cell r="A363" t="str">
            <v>JusRörResYTD</v>
          </cell>
        </row>
        <row r="365">
          <cell r="C365" t="str">
            <v>Nyckeltal YTD</v>
          </cell>
        </row>
        <row r="366">
          <cell r="A366" t="str">
            <v>RörelsemargYTD</v>
          </cell>
          <cell r="C366" t="str">
            <v>Rörelsemarginal, %</v>
          </cell>
          <cell r="E366">
            <v>0.45143796849798884</v>
          </cell>
          <cell r="F366">
            <v>0.43481276421293047</v>
          </cell>
          <cell r="G366">
            <v>0.43673542163309553</v>
          </cell>
          <cell r="H366">
            <v>0.43612030275191432</v>
          </cell>
          <cell r="I366">
            <v>0.52386292664469336</v>
          </cell>
          <cell r="J366">
            <v>0.53080433285780504</v>
          </cell>
          <cell r="K366">
            <v>0.53311722907464421</v>
          </cell>
          <cell r="L366">
            <v>0.54097395115092339</v>
          </cell>
          <cell r="M366">
            <v>0.51101567171214657</v>
          </cell>
          <cell r="N366">
            <v>0.50743343450021694</v>
          </cell>
          <cell r="O366">
            <v>0.52432488366564034</v>
          </cell>
          <cell r="P366">
            <v>0.51162484615143922</v>
          </cell>
          <cell r="Q366">
            <v>0.49330174230971724</v>
          </cell>
          <cell r="R366">
            <v>0.46799398167051504</v>
          </cell>
          <cell r="S366">
            <v>0.46472638433216518</v>
          </cell>
          <cell r="T366">
            <v>0.45213022763178001</v>
          </cell>
          <cell r="U366">
            <v>0.44047965474496403</v>
          </cell>
          <cell r="V366">
            <v>0.40665666452412313</v>
          </cell>
          <cell r="W366">
            <v>0.43667689817473981</v>
          </cell>
          <cell r="X366">
            <v>0.39834917248080737</v>
          </cell>
          <cell r="Y366">
            <v>0.37348544480467133</v>
          </cell>
          <cell r="Z366">
            <v>0.39406243821274523</v>
          </cell>
          <cell r="AA366">
            <v>0.43935879759127006</v>
          </cell>
          <cell r="AB366">
            <v>0.43572476634703378</v>
          </cell>
          <cell r="AC366">
            <v>0.6662812271341837</v>
          </cell>
          <cell r="AD366">
            <v>0.65032281983792783</v>
          </cell>
          <cell r="AE366">
            <v>0.66387641038798884</v>
          </cell>
          <cell r="AF366">
            <v>0.67119435172424002</v>
          </cell>
          <cell r="AG366">
            <v>0.78990760367435253</v>
          </cell>
          <cell r="AH366">
            <v>0.75547069076899276</v>
          </cell>
          <cell r="AI366">
            <v>0.75327222366365154</v>
          </cell>
        </row>
        <row r="367">
          <cell r="A367" t="str">
            <v>VinstmargYTD</v>
          </cell>
          <cell r="C367" t="str">
            <v>Vinstmarginal, %</v>
          </cell>
          <cell r="E367">
            <v>0.38758207059313593</v>
          </cell>
          <cell r="F367">
            <v>0.36732434302650419</v>
          </cell>
          <cell r="G367">
            <v>0.36995572056204784</v>
          </cell>
          <cell r="H367">
            <v>0.36804433348850407</v>
          </cell>
          <cell r="I367">
            <v>0.45161540320117433</v>
          </cell>
          <cell r="J367">
            <v>0.45692568707838116</v>
          </cell>
          <cell r="K367">
            <v>0.45946573823403686</v>
          </cell>
          <cell r="L367">
            <v>0.46322459765004509</v>
          </cell>
          <cell r="M367">
            <v>0.43840480538117149</v>
          </cell>
          <cell r="N367">
            <v>0.43254730859157103</v>
          </cell>
          <cell r="O367">
            <v>0.44892583431741584</v>
          </cell>
          <cell r="P367">
            <v>0.43903363318347277</v>
          </cell>
          <cell r="Q367">
            <v>0.42215396966601104</v>
          </cell>
          <cell r="R367">
            <v>0.40114218461474321</v>
          </cell>
          <cell r="S367">
            <v>0.39802400894672285</v>
          </cell>
          <cell r="T367">
            <v>0.38805030271089258</v>
          </cell>
          <cell r="U367">
            <v>0.38195090418027405</v>
          </cell>
          <cell r="V367">
            <v>0.35505634744550657</v>
          </cell>
          <cell r="W367">
            <v>0.36976180996139324</v>
          </cell>
          <cell r="X367">
            <v>0.33276577298962046</v>
          </cell>
          <cell r="Y367">
            <v>0.32508028211752898</v>
          </cell>
          <cell r="Z367">
            <v>0.34093070909422851</v>
          </cell>
          <cell r="AA367">
            <v>0.37681830847341857</v>
          </cell>
          <cell r="AB367">
            <v>0.37448811289082828</v>
          </cell>
          <cell r="AC367">
            <v>0.56260366125516603</v>
          </cell>
          <cell r="AD367">
            <v>0.54854232145204163</v>
          </cell>
          <cell r="AE367">
            <v>0.55797503470938148</v>
          </cell>
          <cell r="AF367">
            <v>0.56821137795974486</v>
          </cell>
          <cell r="AG367">
            <v>0.66024353495455612</v>
          </cell>
          <cell r="AH367">
            <v>0.63281781065494114</v>
          </cell>
          <cell r="AI367">
            <v>0.63109355057839955</v>
          </cell>
        </row>
        <row r="368">
          <cell r="A368" t="str">
            <v>KItalYTD</v>
          </cell>
          <cell r="C368" t="str">
            <v>K/I-tal, %</v>
          </cell>
          <cell r="E368">
            <v>0.54788406216182828</v>
          </cell>
          <cell r="F368">
            <v>0.56452859820636425</v>
          </cell>
          <cell r="G368">
            <v>0.56300837702052831</v>
          </cell>
          <cell r="H368">
            <v>0.56445604442929531</v>
          </cell>
          <cell r="I368">
            <v>0.47567663671549121</v>
          </cell>
          <cell r="J368">
            <v>0.46848237470129472</v>
          </cell>
          <cell r="K368">
            <v>0.46632056944969302</v>
          </cell>
          <cell r="L368">
            <v>0.45878493443067353</v>
          </cell>
          <cell r="M368">
            <v>0.48839925560691017</v>
          </cell>
          <cell r="N368">
            <v>0.49177342768872256</v>
          </cell>
          <cell r="O368">
            <v>0.47488729541100067</v>
          </cell>
          <cell r="P368">
            <v>0.48781937575129036</v>
          </cell>
          <cell r="Q368">
            <v>0.50757623648235672</v>
          </cell>
          <cell r="R368">
            <v>0.53259845707139641</v>
          </cell>
          <cell r="S368">
            <v>0.53579207879457424</v>
          </cell>
          <cell r="T368">
            <v>0.54827023799958696</v>
          </cell>
          <cell r="U368">
            <v>0.56081696979023066</v>
          </cell>
          <cell r="V368">
            <v>0.59266505411328474</v>
          </cell>
          <cell r="W368">
            <v>0.56231703042726466</v>
          </cell>
          <cell r="X368">
            <v>0.59991948185858512</v>
          </cell>
          <cell r="Y368">
            <v>0.61363713088335636</v>
          </cell>
          <cell r="Z368">
            <v>0.59816333496873009</v>
          </cell>
          <cell r="AA368">
            <v>0.55325831289501337</v>
          </cell>
          <cell r="AB368">
            <v>0.55764559133523339</v>
          </cell>
          <cell r="AC368">
            <v>0.3302654358958072</v>
          </cell>
          <cell r="AD368">
            <v>0.34130725697624686</v>
          </cell>
          <cell r="AE368">
            <v>0.32961970743718705</v>
          </cell>
          <cell r="AF368">
            <v>0.32467597861461611</v>
          </cell>
          <cell r="AG368">
            <v>0.2115922584793147</v>
          </cell>
          <cell r="AH368">
            <v>0.2448658880690795</v>
          </cell>
          <cell r="AI368">
            <v>0.24674927260271448</v>
          </cell>
        </row>
        <row r="369">
          <cell r="A369" t="str">
            <v>AvkastEKYTD</v>
          </cell>
          <cell r="C369" t="str">
            <v>Avkastning på eget kapital, % (årsbasis)</v>
          </cell>
          <cell r="E369">
            <v>0.31549027690273829</v>
          </cell>
          <cell r="F369">
            <v>0.30983122103753125</v>
          </cell>
          <cell r="G369">
            <v>0.31373305323629669</v>
          </cell>
          <cell r="H369">
            <v>0.32016157587961291</v>
          </cell>
          <cell r="I369">
            <v>0.51920861909288973</v>
          </cell>
          <cell r="J369">
            <v>0.50031677282592912</v>
          </cell>
          <cell r="K369">
            <v>0.45958228978419841</v>
          </cell>
          <cell r="L369">
            <v>0.4541677712393315</v>
          </cell>
          <cell r="M369">
            <v>0.33444674058919976</v>
          </cell>
          <cell r="N369">
            <v>0.33523537113846363</v>
          </cell>
          <cell r="O369">
            <v>0.34162253085114297</v>
          </cell>
          <cell r="P369">
            <v>0.33480449477008317</v>
          </cell>
          <cell r="Q369">
            <v>0.34327321461708526</v>
          </cell>
          <cell r="R369">
            <v>0.32035760607461589</v>
          </cell>
          <cell r="S369">
            <v>0.30402713800348846</v>
          </cell>
          <cell r="T369">
            <v>0.2981845643597652</v>
          </cell>
          <cell r="U369">
            <v>0.30985705811978764</v>
          </cell>
          <cell r="V369">
            <v>0.27434441768181556</v>
          </cell>
          <cell r="W369">
            <v>0.27853772908359908</v>
          </cell>
          <cell r="X369">
            <v>0.24405359321823544</v>
          </cell>
          <cell r="Y369">
            <v>0.22970642780316533</v>
          </cell>
          <cell r="Z369">
            <v>0.24755104873852252</v>
          </cell>
          <cell r="AA369">
            <v>0.27161582984671928</v>
          </cell>
          <cell r="AB369">
            <v>0.26782113533933927</v>
          </cell>
          <cell r="AC369">
            <v>0.64446363733175116</v>
          </cell>
          <cell r="AD369">
            <v>0.58981685624332336</v>
          </cell>
          <cell r="AE369">
            <v>0.57033432009060203</v>
          </cell>
          <cell r="AF369">
            <v>0.56823781700884168</v>
          </cell>
          <cell r="AG369">
            <v>0.73859273380772583</v>
          </cell>
          <cell r="AH369">
            <v>0.5924501524158019</v>
          </cell>
          <cell r="AI369">
            <v>0.53331110124625369</v>
          </cell>
        </row>
        <row r="370">
          <cell r="A370" t="str">
            <v>AvkastTillgYTD</v>
          </cell>
          <cell r="C370" t="str">
            <v>Avkastning på tillgångar, % (årsbasis)</v>
          </cell>
          <cell r="E370">
            <v>4.4350109064558727E-3</v>
          </cell>
          <cell r="F370">
            <v>3.9775224260552239E-3</v>
          </cell>
          <cell r="G370">
            <v>3.9123460133983273E-3</v>
          </cell>
          <cell r="H370">
            <v>3.9675897944400247E-3</v>
          </cell>
          <cell r="I370">
            <v>5.3668689505713095E-3</v>
          </cell>
          <cell r="J370">
            <v>5.202007570844447E-3</v>
          </cell>
          <cell r="K370">
            <v>4.9331465260424564E-3</v>
          </cell>
          <cell r="L370">
            <v>5.0686643112194014E-3</v>
          </cell>
          <cell r="M370">
            <v>4.39139426019874E-3</v>
          </cell>
          <cell r="N370">
            <v>4.2275546354130934E-3</v>
          </cell>
          <cell r="O370">
            <v>4.2520398988243812E-3</v>
          </cell>
          <cell r="P370">
            <v>4.2062858866489701E-3</v>
          </cell>
          <cell r="Q370">
            <v>3.9746531635146088E-3</v>
          </cell>
          <cell r="R370">
            <v>3.589462309060952E-3</v>
          </cell>
          <cell r="S370">
            <v>3.4157606286038269E-3</v>
          </cell>
          <cell r="T370">
            <v>3.4159792619387931E-3</v>
          </cell>
          <cell r="U370">
            <v>3.5118627955112872E-3</v>
          </cell>
          <cell r="V370">
            <v>3.0310700854739034E-3</v>
          </cell>
          <cell r="W370">
            <v>3.1101635191742747E-3</v>
          </cell>
          <cell r="X370">
            <v>2.8240315227038683E-3</v>
          </cell>
          <cell r="Y370">
            <v>2.6942568544457866E-3</v>
          </cell>
          <cell r="Z370">
            <v>2.8004599356459413E-3</v>
          </cell>
          <cell r="AA370">
            <v>3.1436672996794871E-3</v>
          </cell>
          <cell r="AB370">
            <v>3.1528205196803749E-3</v>
          </cell>
          <cell r="AC370">
            <v>7.7405040097371855E-3</v>
          </cell>
          <cell r="AD370">
            <v>7.1839976041800212E-3</v>
          </cell>
          <cell r="AE370">
            <v>7.1820720895190912E-3</v>
          </cell>
          <cell r="AF370">
            <v>7.5365428542544096E-3</v>
          </cell>
          <cell r="AG370">
            <v>1.1516683344901225E-2</v>
          </cell>
          <cell r="AH370">
            <v>9.3957333915906001E-3</v>
          </cell>
          <cell r="AI370">
            <v>8.7369747096661763E-3</v>
          </cell>
        </row>
        <row r="371">
          <cell r="A371" t="str">
            <v>KreditförlnivåYTD</v>
          </cell>
          <cell r="C371" t="str">
            <v>Kreditförlustnivå, %</v>
          </cell>
          <cell r="I371">
            <v>-1.0217365853335161E-5</v>
          </cell>
          <cell r="J371">
            <v>-3.2074054104634061E-5</v>
          </cell>
          <cell r="K371">
            <v>-3.672075798030021E-5</v>
          </cell>
          <cell r="L371">
            <v>-2.1820264147409164E-5</v>
          </cell>
          <cell r="M371">
            <v>-1.5907219726475464E-5</v>
          </cell>
          <cell r="N371">
            <v>-4.2801014876274731E-5</v>
          </cell>
          <cell r="O371">
            <v>-6.3418968301659308E-5</v>
          </cell>
          <cell r="P371">
            <v>-6.1273876063275466E-5</v>
          </cell>
          <cell r="Q371">
            <v>2.1999595053677069E-5</v>
          </cell>
          <cell r="R371">
            <v>2.9025600808565294E-5</v>
          </cell>
          <cell r="S371">
            <v>3.7445759439780869E-5</v>
          </cell>
          <cell r="T371">
            <v>4.0037491994111958E-5</v>
          </cell>
          <cell r="U371">
            <v>3.1305057706373282E-5</v>
          </cell>
          <cell r="V371">
            <v>-3.1084579355751242E-5</v>
          </cell>
          <cell r="W371">
            <v>-7.0018680808974577E-5</v>
          </cell>
          <cell r="X371">
            <v>-1.0331291220226421E-4</v>
          </cell>
          <cell r="Y371">
            <v>-1.0499459010384161E-4</v>
          </cell>
          <cell r="Z371">
            <v>4.1804790471540547E-5</v>
          </cell>
          <cell r="AA371">
            <v>1.4248295201608956E-6</v>
          </cell>
          <cell r="AB371">
            <v>2.9309724436566077E-5</v>
          </cell>
          <cell r="AC371">
            <v>3.5138148868763469E-5</v>
          </cell>
          <cell r="AD371">
            <v>-2.988725820332257E-4</v>
          </cell>
          <cell r="AE371">
            <v>-3.264943759694243E-4</v>
          </cell>
          <cell r="AF371">
            <v>-2.6031471986848512E-4</v>
          </cell>
          <cell r="AG371">
            <v>7.7321476568102703E-5</v>
          </cell>
          <cell r="AH371">
            <v>3.1018039398328126E-5</v>
          </cell>
          <cell r="AI371">
            <v>2.8693545783586399E-6</v>
          </cell>
        </row>
        <row r="373">
          <cell r="A373" t="str">
            <v>InvestYTD</v>
          </cell>
          <cell r="C373" t="str">
            <v>Investeringar, kSEK</v>
          </cell>
          <cell r="E373">
            <v>1967</v>
          </cell>
          <cell r="F373">
            <v>5068</v>
          </cell>
          <cell r="G373">
            <v>7757</v>
          </cell>
          <cell r="H373">
            <v>11960</v>
          </cell>
          <cell r="I373">
            <v>5691</v>
          </cell>
          <cell r="J373">
            <v>13129</v>
          </cell>
          <cell r="K373">
            <v>19572</v>
          </cell>
          <cell r="L373">
            <v>27941</v>
          </cell>
          <cell r="M373">
            <v>6351.2669999999998</v>
          </cell>
          <cell r="N373">
            <v>12121</v>
          </cell>
          <cell r="O373">
            <v>20819</v>
          </cell>
          <cell r="P373">
            <v>35678</v>
          </cell>
          <cell r="Q373">
            <v>7002</v>
          </cell>
          <cell r="R373">
            <v>25998</v>
          </cell>
          <cell r="S373">
            <v>34592.635999999999</v>
          </cell>
          <cell r="T373">
            <v>50251</v>
          </cell>
          <cell r="U373">
            <v>10715</v>
          </cell>
          <cell r="V373">
            <v>16221</v>
          </cell>
          <cell r="W373">
            <v>24924</v>
          </cell>
          <cell r="X373">
            <v>71415</v>
          </cell>
          <cell r="Y373">
            <v>1745.6168</v>
          </cell>
          <cell r="Z373">
            <v>3686.6307999999935</v>
          </cell>
          <cell r="AA373">
            <v>4930.7755400000115</v>
          </cell>
          <cell r="AB373">
            <v>9605.0035400000124</v>
          </cell>
          <cell r="AC373">
            <v>6834.9255499999908</v>
          </cell>
          <cell r="AD373">
            <v>32432.536599999956</v>
          </cell>
          <cell r="AE373">
            <v>45167.690949999989</v>
          </cell>
          <cell r="AF373">
            <v>62575.233070000002</v>
          </cell>
          <cell r="AG373">
            <v>19014.914250000005</v>
          </cell>
          <cell r="AH373">
            <v>51688.062249999995</v>
          </cell>
          <cell r="AI373">
            <v>83917.213000000032</v>
          </cell>
        </row>
        <row r="375">
          <cell r="A375" t="str">
            <v>CourtageprocentYTD</v>
          </cell>
          <cell r="C375" t="str">
            <v>Courtagenetto/Rörelseintäkter, %</v>
          </cell>
          <cell r="E375">
            <v>0.4604931920191831</v>
          </cell>
          <cell r="F375">
            <v>0.420836622188073</v>
          </cell>
          <cell r="G375">
            <v>0.41791889911019275</v>
          </cell>
          <cell r="H375">
            <v>0.42144858950949482</v>
          </cell>
          <cell r="I375">
            <v>0.51631149597893689</v>
          </cell>
          <cell r="J375">
            <v>0.49757086182341864</v>
          </cell>
          <cell r="K375">
            <v>0.51681249371985405</v>
          </cell>
          <cell r="L375">
            <v>0.53509633769232601</v>
          </cell>
          <cell r="M375">
            <v>0.55859684038731339</v>
          </cell>
          <cell r="N375">
            <v>0.52794975152233992</v>
          </cell>
          <cell r="O375">
            <v>0.52425405599129338</v>
          </cell>
          <cell r="P375">
            <v>0.51659048044896705</v>
          </cell>
          <cell r="Q375">
            <v>0.49768263168793714</v>
          </cell>
          <cell r="R375">
            <v>0.46423063429470374</v>
          </cell>
          <cell r="S375">
            <v>0.46485279154564901</v>
          </cell>
          <cell r="T375">
            <v>0.46071206017279337</v>
          </cell>
          <cell r="U375">
            <v>0.44831018039153198</v>
          </cell>
          <cell r="V375">
            <v>0.41402813909144437</v>
          </cell>
          <cell r="W375">
            <v>0.4145427368268193</v>
          </cell>
          <cell r="X375">
            <v>0.41492235686139173</v>
          </cell>
          <cell r="Y375">
            <v>0.41960160524957746</v>
          </cell>
          <cell r="Z375">
            <v>0.39355387028538208</v>
          </cell>
          <cell r="AA375">
            <v>0.39643742878107008</v>
          </cell>
          <cell r="AB375">
            <v>0.39036250450613491</v>
          </cell>
          <cell r="AC375">
            <v>0.49450706601089328</v>
          </cell>
          <cell r="AD375">
            <v>0.49462902813818049</v>
          </cell>
          <cell r="AE375">
            <v>0.4934667598281563</v>
          </cell>
          <cell r="AF375">
            <v>0.46919805395293002</v>
          </cell>
          <cell r="AG375">
            <v>0.45848409184148542</v>
          </cell>
          <cell r="AH375">
            <v>0.45159085546169386</v>
          </cell>
          <cell r="AI375">
            <v>0.44488692428186771</v>
          </cell>
        </row>
        <row r="376">
          <cell r="A376" t="str">
            <v>FondprovprocentYTD</v>
          </cell>
          <cell r="C376" t="str">
            <v>Fondprovisionsnetto/Rörelseintäkter, %</v>
          </cell>
          <cell r="E376">
            <v>0.14597694595664101</v>
          </cell>
          <cell r="F376">
            <v>0.15710586529780252</v>
          </cell>
          <cell r="G376">
            <v>0.16840551012638702</v>
          </cell>
          <cell r="H376">
            <v>0.16788167641823556</v>
          </cell>
          <cell r="I376">
            <v>0.18104386122061303</v>
          </cell>
          <cell r="J376">
            <v>0.18789566463856683</v>
          </cell>
          <cell r="K376">
            <v>0.1878421634048946</v>
          </cell>
          <cell r="L376">
            <v>0.17823419831828247</v>
          </cell>
          <cell r="M376">
            <v>0.1650597853293117</v>
          </cell>
          <cell r="N376">
            <v>0.16910285650146756</v>
          </cell>
          <cell r="O376">
            <v>0.18037107207436914</v>
          </cell>
          <cell r="P376">
            <v>0.18436838732307831</v>
          </cell>
          <cell r="Q376">
            <v>0.21475508202710827</v>
          </cell>
          <cell r="R376">
            <v>0.23743926827536974</v>
          </cell>
          <cell r="S376">
            <v>0.24870642683405247</v>
          </cell>
          <cell r="T376">
            <v>0.24567406489892268</v>
          </cell>
          <cell r="U376">
            <v>0.26561935845101797</v>
          </cell>
          <cell r="V376">
            <v>0.2844581749347766</v>
          </cell>
          <cell r="W376">
            <v>0.29057661556627684</v>
          </cell>
          <cell r="X376">
            <v>0.28686226488914013</v>
          </cell>
          <cell r="Y376">
            <v>0.26788037547172178</v>
          </cell>
          <cell r="Z376">
            <v>0.27968336106190306</v>
          </cell>
          <cell r="AA376">
            <v>0.27825121311973328</v>
          </cell>
          <cell r="AB376">
            <v>0.27815414835453328</v>
          </cell>
          <cell r="AC376">
            <v>0.17778669552222695</v>
          </cell>
          <cell r="AD376">
            <v>0.17275326945257469</v>
          </cell>
          <cell r="AE376">
            <v>0.17857243376881973</v>
          </cell>
          <cell r="AF376">
            <v>0.1779545407035325</v>
          </cell>
          <cell r="AG376">
            <v>0.15703275717261367</v>
          </cell>
          <cell r="AH376">
            <v>0.18222949917789127</v>
          </cell>
          <cell r="AI376">
            <v>0.19577928442591161</v>
          </cell>
        </row>
        <row r="377">
          <cell r="A377" t="str">
            <v>ValutaprocentYTD</v>
          </cell>
          <cell r="C377" t="str">
            <v>Fondprovisionsnetto/Rörelseintäkter, %</v>
          </cell>
          <cell r="Y377">
            <v>0.11794128156250733</v>
          </cell>
          <cell r="Z377">
            <v>0.11034866512943896</v>
          </cell>
          <cell r="AA377">
            <v>0.1084609841029965</v>
          </cell>
          <cell r="AB377">
            <v>0.10443267879614659</v>
          </cell>
          <cell r="AC377">
            <v>0.13413850517892903</v>
          </cell>
          <cell r="AD377">
            <v>0.14354420102751997</v>
          </cell>
          <cell r="AE377">
            <v>0.14681962022900494</v>
          </cell>
          <cell r="AF377">
            <v>0.15122475157486512</v>
          </cell>
          <cell r="AG377">
            <v>0.25846523544238276</v>
          </cell>
          <cell r="AH377">
            <v>0.2198258941558853</v>
          </cell>
          <cell r="AI377">
            <v>0.19797170326005836</v>
          </cell>
        </row>
        <row r="378">
          <cell r="A378" t="str">
            <v>RäntenettoprocentYTD</v>
          </cell>
          <cell r="C378" t="str">
            <v>Räntenetto/Rörelseintäkter, %</v>
          </cell>
          <cell r="E378">
            <v>0.29278104138239519</v>
          </cell>
          <cell r="F378">
            <v>0.30904160549198156</v>
          </cell>
          <cell r="G378">
            <v>0.29984286706600866</v>
          </cell>
          <cell r="H378">
            <v>0.28243342345882078</v>
          </cell>
          <cell r="I378">
            <v>0.19729220246343993</v>
          </cell>
          <cell r="J378">
            <v>0.17877251512737186</v>
          </cell>
          <cell r="K378">
            <v>0.16774511218138577</v>
          </cell>
          <cell r="L378">
            <v>0.15484859977485638</v>
          </cell>
          <cell r="M378">
            <v>0.14047096712714197</v>
          </cell>
          <cell r="N378">
            <v>0.13138005391691779</v>
          </cell>
          <cell r="O378">
            <v>0.12624807504851457</v>
          </cell>
          <cell r="P378">
            <v>0.12575981325227928</v>
          </cell>
          <cell r="Q378">
            <v>0.11856632065344365</v>
          </cell>
          <cell r="R378">
            <v>0.11666394867325859</v>
          </cell>
          <cell r="S378">
            <v>0.11489858693383045</v>
          </cell>
          <cell r="T378">
            <v>0.11020917624500004</v>
          </cell>
          <cell r="U378">
            <v>8.3568453959926653E-2</v>
          </cell>
          <cell r="V378">
            <v>8.7441822967288016E-2</v>
          </cell>
          <cell r="W378">
            <v>8.8901100249707321E-2</v>
          </cell>
          <cell r="X378">
            <v>8.6328131086468446E-2</v>
          </cell>
          <cell r="Y378">
            <v>0.11311743251096261</v>
          </cell>
          <cell r="Z378">
            <v>0.13095810954227047</v>
          </cell>
          <cell r="AA378">
            <v>0.13530098821585967</v>
          </cell>
          <cell r="AB378">
            <v>0.13853397320176247</v>
          </cell>
          <cell r="AC378">
            <v>0.11755151403260042</v>
          </cell>
          <cell r="AD378">
            <v>0.12844867605232602</v>
          </cell>
          <cell r="AE378">
            <v>0.1282645311216217</v>
          </cell>
          <cell r="AF378">
            <v>0.12062262119837483</v>
          </cell>
          <cell r="AG378">
            <v>7.9844215253114345E-2</v>
          </cell>
          <cell r="AH378">
            <v>9.1436351950604983E-2</v>
          </cell>
          <cell r="AI378">
            <v>9.6570844738047987E-2</v>
          </cell>
        </row>
        <row r="379">
          <cell r="A379" t="str">
            <v>ÖvrIntprocentYTD</v>
          </cell>
          <cell r="C379" t="str">
            <v>Övriga intäkter/Rörelseintäkter, %</v>
          </cell>
          <cell r="E379">
            <v>0.10074882064178085</v>
          </cell>
          <cell r="F379">
            <v>0.11301590702214287</v>
          </cell>
          <cell r="G379">
            <v>0.11383272369741157</v>
          </cell>
          <cell r="H379">
            <v>0.12823631061344873</v>
          </cell>
          <cell r="I379">
            <v>0.1053524403370102</v>
          </cell>
          <cell r="J379">
            <v>0.13576095841064276</v>
          </cell>
          <cell r="K379">
            <v>0.12760023069386553</v>
          </cell>
          <cell r="L379">
            <v>0.1318208642145352</v>
          </cell>
          <cell r="M379">
            <v>0.13587240715623297</v>
          </cell>
          <cell r="N379">
            <v>0.17156733805927477</v>
          </cell>
          <cell r="O379">
            <v>0.16912679688582297</v>
          </cell>
          <cell r="P379">
            <v>0.17328131897567542</v>
          </cell>
          <cell r="Q379">
            <v>0.1689959656315109</v>
          </cell>
          <cell r="R379">
            <v>0.18166614875666798</v>
          </cell>
          <cell r="S379">
            <v>0.17154219468646811</v>
          </cell>
          <cell r="T379">
            <v>0.18340469868328388</v>
          </cell>
          <cell r="U379">
            <v>0.20250200719752343</v>
          </cell>
          <cell r="V379">
            <v>0.21407186300649098</v>
          </cell>
          <cell r="W379">
            <v>0.20597954735719642</v>
          </cell>
          <cell r="X379">
            <v>0.21188724716299984</v>
          </cell>
          <cell r="Y379">
            <v>8.1459305205230953E-2</v>
          </cell>
          <cell r="Z379">
            <v>8.5455993981005562E-2</v>
          </cell>
          <cell r="AA379">
            <v>8.154938578034053E-2</v>
          </cell>
          <cell r="AB379">
            <v>8.8516695141422824E-2</v>
          </cell>
          <cell r="AC379">
            <v>7.6016219255350279E-2</v>
          </cell>
          <cell r="AD379">
            <v>6.0624825329398987E-2</v>
          </cell>
          <cell r="AE379">
            <v>5.2876655052397324E-2</v>
          </cell>
          <cell r="AF379">
            <v>8.1000032570297656E-2</v>
          </cell>
          <cell r="AG379">
            <v>4.6173700290404074E-2</v>
          </cell>
          <cell r="AH379">
            <v>5.4917399253924484E-2</v>
          </cell>
          <cell r="AI379">
            <v>6.4791243294114328E-2</v>
          </cell>
        </row>
        <row r="381">
          <cell r="A381" t="str">
            <v>IntPerSparkrYTD</v>
          </cell>
          <cell r="C381" t="str">
            <v>Rörelseintäkter/Sparkapital, %</v>
          </cell>
          <cell r="E381" t="e">
            <v>#DIV/0!</v>
          </cell>
          <cell r="F381" t="e">
            <v>#DIV/0!</v>
          </cell>
          <cell r="G381" t="e">
            <v>#DIV/0!</v>
          </cell>
          <cell r="H381" t="e">
            <v>#DIV/0!</v>
          </cell>
          <cell r="I381">
            <v>5.0414053641225382E-3</v>
          </cell>
          <cell r="J381">
            <v>5.0814613912665389E-3</v>
          </cell>
          <cell r="K381">
            <v>4.9059278162988931E-3</v>
          </cell>
          <cell r="L381">
            <v>4.9450567331898376E-3</v>
          </cell>
          <cell r="M381">
            <v>4.5518992128351842E-3</v>
          </cell>
          <cell r="N381">
            <v>4.4499235526515614E-3</v>
          </cell>
          <cell r="O381">
            <v>4.2625532966148556E-3</v>
          </cell>
          <cell r="P381">
            <v>4.2489054831445052E-3</v>
          </cell>
          <cell r="Q381">
            <v>3.9577282728392041E-3</v>
          </cell>
          <cell r="R381">
            <v>3.7515476352634669E-3</v>
          </cell>
          <cell r="S381">
            <v>3.5947973775882843E-3</v>
          </cell>
          <cell r="T381">
            <v>3.6715485051618366E-3</v>
          </cell>
          <cell r="U381">
            <v>3.7968859879263855E-3</v>
          </cell>
          <cell r="V381">
            <v>3.5161497525093032E-3</v>
          </cell>
          <cell r="W381">
            <v>3.4478379744153796E-3</v>
          </cell>
          <cell r="X381">
            <v>3.474057785932242E-3</v>
          </cell>
          <cell r="Y381">
            <v>3.3685664850508865E-3</v>
          </cell>
          <cell r="Z381">
            <v>3.3273679004558955E-3</v>
          </cell>
          <cell r="AA381">
            <v>3.3615920384604345E-3</v>
          </cell>
          <cell r="AB381">
            <v>3.3528843421642904E-3</v>
          </cell>
          <cell r="AC381">
            <v>5.5849104982571528E-3</v>
          </cell>
          <cell r="AD381">
            <v>5.2470197336274369E-3</v>
          </cell>
          <cell r="AE381">
            <v>5.0506074311425283E-3</v>
          </cell>
          <cell r="AF381">
            <v>5.0946060651879954E-3</v>
          </cell>
          <cell r="AG381">
            <v>6.2509316110694576E-3</v>
          </cell>
          <cell r="AH381">
            <v>5.2950176109635592E-3</v>
          </cell>
          <cell r="AI381">
            <v>4.9427362389629827E-3</v>
          </cell>
        </row>
        <row r="382">
          <cell r="A382" t="str">
            <v>KostnPerSparkrYTD</v>
          </cell>
          <cell r="C382" t="str">
            <v>Rörelsekostnader/Sparkapital, %</v>
          </cell>
          <cell r="E382" t="e">
            <v>#DIV/0!</v>
          </cell>
          <cell r="F382" t="e">
            <v>#DIV/0!</v>
          </cell>
          <cell r="G382" t="e">
            <v>#DIV/0!</v>
          </cell>
          <cell r="H382" t="e">
            <v>#DIV/0!</v>
          </cell>
          <cell r="I382">
            <v>2.3981055420880166E-3</v>
          </cell>
          <cell r="J382">
            <v>2.3805801216721795E-3</v>
          </cell>
          <cell r="K382">
            <v>2.2877336703091577E-3</v>
          </cell>
          <cell r="L382">
            <v>2.2687159857203163E-3</v>
          </cell>
          <cell r="M382">
            <v>2.2231488465793646E-3</v>
          </cell>
          <cell r="N382">
            <v>2.1883569749470487E-3</v>
          </cell>
          <cell r="O382">
            <v>2.0242345728554976E-3</v>
          </cell>
          <cell r="P382">
            <v>2.0727000108070885E-3</v>
          </cell>
          <cell r="Q382">
            <v>2.0088470253483595E-3</v>
          </cell>
          <cell r="R382">
            <v>1.9980675682632495E-3</v>
          </cell>
          <cell r="S382">
            <v>1.9260632391843357E-3</v>
          </cell>
          <cell r="T382">
            <v>2.0130015358854167E-3</v>
          </cell>
          <cell r="U382">
            <v>2.1293580943879155E-3</v>
          </cell>
          <cell r="V382">
            <v>2.083922337545176E-3</v>
          </cell>
          <cell r="W382">
            <v>1.9387783206472557E-3</v>
          </cell>
          <cell r="X382">
            <v>1.9682425122343641E-3</v>
          </cell>
          <cell r="Y382">
            <v>2.0670774730765277E-3</v>
          </cell>
          <cell r="Z382">
            <v>1.9903112892799466E-3</v>
          </cell>
          <cell r="AA382">
            <v>1.8598299039197588E-3</v>
          </cell>
          <cell r="AB382">
            <v>1.869721170145236E-3</v>
          </cell>
          <cell r="AC382">
            <v>1.8445029001459951E-3</v>
          </cell>
          <cell r="AD382">
            <v>1.7908459005539349E-3</v>
          </cell>
          <cell r="AE382">
            <v>1.66477973656693E-3</v>
          </cell>
          <cell r="AF382">
            <v>1.6540962106150236E-3</v>
          </cell>
          <cell r="AG382">
            <v>1.3226487371858795E-3</v>
          </cell>
          <cell r="AH382">
            <v>1.2965691896499659E-3</v>
          </cell>
          <cell r="AI382">
            <v>1.2196165716311482E-3</v>
          </cell>
        </row>
        <row r="384">
          <cell r="A384" t="str">
            <v>SparkapPerKundYTD</v>
          </cell>
          <cell r="C384" t="str">
            <v>Sparkapital/Kund, MSEK</v>
          </cell>
          <cell r="Y384">
            <v>385480.55989338137</v>
          </cell>
          <cell r="Z384">
            <v>398179.0801777087</v>
          </cell>
          <cell r="AA384">
            <v>401545.37883230473</v>
          </cell>
          <cell r="AB384">
            <v>417564.04861041717</v>
          </cell>
          <cell r="AC384">
            <v>346502.79716644529</v>
          </cell>
          <cell r="AD384">
            <v>398532.91142818163</v>
          </cell>
          <cell r="AE384">
            <v>430386.20033028704</v>
          </cell>
          <cell r="AF384">
            <v>445595.3880694941</v>
          </cell>
          <cell r="AG384">
            <v>456295.61625392869</v>
          </cell>
          <cell r="AH384">
            <v>469997.24856311816</v>
          </cell>
          <cell r="AI384">
            <v>462733.7096408786</v>
          </cell>
        </row>
        <row r="385">
          <cell r="A385" t="str">
            <v>IntPerKundYTD</v>
          </cell>
          <cell r="C385" t="str">
            <v>Rörelseintäkter/Kund, årsbasis, SEK</v>
          </cell>
          <cell r="L385">
            <v>2123.5851594405531</v>
          </cell>
          <cell r="M385">
            <v>1864.5068567149237</v>
          </cell>
          <cell r="N385">
            <v>1805.1306679880115</v>
          </cell>
          <cell r="O385">
            <v>1751.9910071092481</v>
          </cell>
          <cell r="P385">
            <v>1753.9263350467975</v>
          </cell>
          <cell r="Q385">
            <v>1658.0446188028814</v>
          </cell>
          <cell r="R385">
            <v>1578.9636638967081</v>
          </cell>
          <cell r="S385">
            <v>1512.6612735874285</v>
          </cell>
          <cell r="T385">
            <v>1526.456336200871</v>
          </cell>
          <cell r="U385">
            <v>1482.8872163618428</v>
          </cell>
          <cell r="V385">
            <v>1379.4212204359264</v>
          </cell>
          <cell r="W385">
            <v>1368.2262636478056</v>
          </cell>
          <cell r="X385">
            <v>1349.8180833579829</v>
          </cell>
          <cell r="Y385">
            <v>1253.7034191639166</v>
          </cell>
          <cell r="Z385">
            <v>1268.2783327369511</v>
          </cell>
          <cell r="AA385">
            <v>1299.4494081213586</v>
          </cell>
          <cell r="AB385">
            <v>1318.5127138239814</v>
          </cell>
          <cell r="AC385">
            <v>2125.2435561888565</v>
          </cell>
          <cell r="AD385">
            <v>2030.0642285381077</v>
          </cell>
          <cell r="AE385">
            <v>2014.407329299162</v>
          </cell>
          <cell r="AF385">
            <v>2086.12477962401</v>
          </cell>
          <cell r="AG385">
            <v>2820.713092150409</v>
          </cell>
          <cell r="AH385">
            <v>2424.9806261528447</v>
          </cell>
          <cell r="AI385">
            <v>2270.065290048944</v>
          </cell>
        </row>
        <row r="386">
          <cell r="A386" t="str">
            <v>KostnPerKundYTD</v>
          </cell>
          <cell r="C386" t="str">
            <v>Rörelsekostnader/Kund, årsbasis, SEK</v>
          </cell>
          <cell r="L386">
            <v>-974.2682153523956</v>
          </cell>
          <cell r="M386">
            <v>-910.62566944739274</v>
          </cell>
          <cell r="N386">
            <v>-887.7164385506253</v>
          </cell>
          <cell r="O386">
            <v>-831.99916133339593</v>
          </cell>
          <cell r="P386">
            <v>-855.59990638245381</v>
          </cell>
          <cell r="Q386">
            <v>-841.58329495106932</v>
          </cell>
          <cell r="R386">
            <v>-840.9532265146255</v>
          </cell>
          <cell r="S386">
            <v>-810.4716250653139</v>
          </cell>
          <cell r="T386">
            <v>-836.91089601959004</v>
          </cell>
          <cell r="U386">
            <v>-831.62831522073986</v>
          </cell>
          <cell r="V386">
            <v>-817.54387511475863</v>
          </cell>
          <cell r="W386">
            <v>-769.37705233969291</v>
          </cell>
          <cell r="X386">
            <v>-764.7452918619091</v>
          </cell>
          <cell r="Y386">
            <v>-769.31896911442561</v>
          </cell>
          <cell r="Z386">
            <v>-758.63828681212021</v>
          </cell>
          <cell r="AA386">
            <v>-718.93163721371025</v>
          </cell>
          <cell r="AB386">
            <v>-735.26280138581308</v>
          </cell>
          <cell r="AC386">
            <v>-701.89448946947834</v>
          </cell>
          <cell r="AD386">
            <v>-692.87564867328865</v>
          </cell>
          <cell r="AE386">
            <v>-663.98835164476975</v>
          </cell>
          <cell r="AF386">
            <v>-677.31460464133932</v>
          </cell>
          <cell r="AG386">
            <v>-596.84105369025463</v>
          </cell>
          <cell r="AH386">
            <v>-593.79503457320982</v>
          </cell>
          <cell r="AI386">
            <v>-560.13695908022657</v>
          </cell>
        </row>
        <row r="388">
          <cell r="C388" t="str">
            <v>Antal courtagegenererande affärer - YTD</v>
          </cell>
          <cell r="E388">
            <v>0</v>
          </cell>
          <cell r="F388">
            <v>0</v>
          </cell>
          <cell r="G388">
            <v>0</v>
          </cell>
          <cell r="H388">
            <v>0</v>
          </cell>
          <cell r="I388">
            <v>0</v>
          </cell>
          <cell r="J388">
            <v>0</v>
          </cell>
          <cell r="K388">
            <v>0</v>
          </cell>
          <cell r="L388">
            <v>0</v>
          </cell>
          <cell r="M388">
            <v>3105235</v>
          </cell>
          <cell r="N388">
            <v>6011883</v>
          </cell>
          <cell r="O388">
            <v>9112155</v>
          </cell>
          <cell r="P388">
            <v>12619121</v>
          </cell>
          <cell r="Q388">
            <v>3585630</v>
          </cell>
          <cell r="R388">
            <v>6731484</v>
          </cell>
          <cell r="S388">
            <v>10028482</v>
          </cell>
          <cell r="T388">
            <v>13918846</v>
          </cell>
          <cell r="U388">
            <v>3973566</v>
          </cell>
          <cell r="V388">
            <v>7280293</v>
          </cell>
          <cell r="W388">
            <v>11236876</v>
          </cell>
          <cell r="X388">
            <v>15041700</v>
          </cell>
          <cell r="Y388">
            <v>3992247</v>
          </cell>
          <cell r="Z388">
            <v>8063117</v>
          </cell>
          <cell r="AA388">
            <v>12827265</v>
          </cell>
          <cell r="AB388">
            <v>17504485</v>
          </cell>
          <cell r="AC388">
            <v>9169803</v>
          </cell>
          <cell r="AD388">
            <v>18373577</v>
          </cell>
          <cell r="AE388">
            <v>29197438</v>
          </cell>
          <cell r="AF388">
            <v>40769414</v>
          </cell>
          <cell r="AG388">
            <v>17713520</v>
          </cell>
          <cell r="AH388">
            <v>31380359</v>
          </cell>
          <cell r="AI388">
            <v>44726264</v>
          </cell>
        </row>
        <row r="389">
          <cell r="C389" t="str">
            <v>Courtagegenererande omsättning MSEK - YTD</v>
          </cell>
          <cell r="E389">
            <v>124870.91352118785</v>
          </cell>
          <cell r="F389">
            <v>232726.29944644705</v>
          </cell>
          <cell r="G389">
            <v>335445.86538344075</v>
          </cell>
          <cell r="H389">
            <v>466671.89092755259</v>
          </cell>
          <cell r="I389">
            <v>145169.24919583803</v>
          </cell>
          <cell r="J389">
            <v>289371.27938439138</v>
          </cell>
          <cell r="K389">
            <v>456723.94200323906</v>
          </cell>
          <cell r="L389">
            <v>678541.3294211399</v>
          </cell>
          <cell r="M389">
            <v>168271.05635940001</v>
          </cell>
          <cell r="N389">
            <v>318061.16817421</v>
          </cell>
          <cell r="O389">
            <v>461994.27440978016</v>
          </cell>
          <cell r="P389">
            <v>614984.35639795032</v>
          </cell>
          <cell r="Q389">
            <v>147165.61446516996</v>
          </cell>
          <cell r="R389">
            <v>275441.05079546</v>
          </cell>
          <cell r="S389">
            <v>409089.99545489997</v>
          </cell>
          <cell r="T389">
            <v>548997.56215518003</v>
          </cell>
          <cell r="U389">
            <v>143485.76694348999</v>
          </cell>
          <cell r="V389">
            <v>263429.28905109002</v>
          </cell>
          <cell r="W389">
            <v>397634.32941804983</v>
          </cell>
          <cell r="X389">
            <v>532379.21423193975</v>
          </cell>
          <cell r="Y389">
            <v>142281.99203869002</v>
          </cell>
          <cell r="Z389">
            <v>268034.08007524</v>
          </cell>
          <cell r="AA389">
            <v>408837.8218050499</v>
          </cell>
          <cell r="AB389">
            <v>557796.00469951984</v>
          </cell>
          <cell r="AC389">
            <v>282354.21338509</v>
          </cell>
          <cell r="AD389">
            <v>560188.72084117029</v>
          </cell>
          <cell r="AE389">
            <v>848396.17449095007</v>
          </cell>
          <cell r="AF389">
            <v>1148781.70199184</v>
          </cell>
          <cell r="AG389">
            <v>422337.52375935006</v>
          </cell>
          <cell r="AH389">
            <v>759805.60799249006</v>
          </cell>
          <cell r="AI389">
            <v>1103393.1645395097</v>
          </cell>
        </row>
        <row r="390">
          <cell r="C390" t="str">
            <v>Courtagegenererande omsättning utland MSEK - YTD</v>
          </cell>
          <cell r="AC390">
            <v>27853.050443040011</v>
          </cell>
          <cell r="AD390">
            <v>60845.57431252001</v>
          </cell>
          <cell r="AE390">
            <v>96129.367041520018</v>
          </cell>
          <cell r="AF390">
            <v>143739.07111352001</v>
          </cell>
          <cell r="AG390">
            <v>98224.870314999993</v>
          </cell>
          <cell r="AH390">
            <v>151701.21759741998</v>
          </cell>
          <cell r="AI390">
            <v>202348.64488997997</v>
          </cell>
        </row>
        <row r="392">
          <cell r="A392" t="str">
            <v>AntalCourtAffärerYTD</v>
          </cell>
          <cell r="C392" t="str">
            <v>Antal courtagegenererande affärer/handelsdag - YTD</v>
          </cell>
          <cell r="AC392">
            <v>145552.42857142858</v>
          </cell>
          <cell r="AD392">
            <v>151222.85596707818</v>
          </cell>
          <cell r="AE392">
            <v>155719.66933333332</v>
          </cell>
          <cell r="AF392">
            <v>163077.65599999999</v>
          </cell>
          <cell r="AG392">
            <v>288024.71544715448</v>
          </cell>
          <cell r="AH392">
            <v>259341.80991735536</v>
          </cell>
          <cell r="AI392">
            <v>239177.88235294117</v>
          </cell>
        </row>
        <row r="393">
          <cell r="A393" t="str">
            <v>CourtOmsättningYTD</v>
          </cell>
          <cell r="C393" t="str">
            <v>Courtagegenererande omsättning/handelsdag MSEK - YTD</v>
          </cell>
          <cell r="AC393">
            <v>4481.8129108744442</v>
          </cell>
          <cell r="AD393">
            <v>4610.606755894406</v>
          </cell>
          <cell r="AE393">
            <v>4524.7795972850672</v>
          </cell>
          <cell r="AF393">
            <v>4595.12680796736</v>
          </cell>
          <cell r="AG393">
            <v>6867.2768090951231</v>
          </cell>
          <cell r="AH393">
            <v>6279.3851900205791</v>
          </cell>
          <cell r="AI393">
            <v>5900.4982060936345</v>
          </cell>
        </row>
        <row r="394">
          <cell r="A394" t="str">
            <v>CourtOmsättningUtlandYTD</v>
          </cell>
          <cell r="C394" t="str">
            <v>Courtagegenererande omsättning utland/handelsdag MSEK - YTD</v>
          </cell>
          <cell r="AC394">
            <v>442.1119117942859</v>
          </cell>
          <cell r="AD394">
            <v>500.78661985613178</v>
          </cell>
          <cell r="AE394">
            <v>512.6899575547734</v>
          </cell>
          <cell r="AF394">
            <v>574.95628445407999</v>
          </cell>
          <cell r="AG394">
            <v>1597.1523628455284</v>
          </cell>
          <cell r="AH394">
            <v>1253.7290710530576</v>
          </cell>
          <cell r="AI394">
            <v>1082.0783149196791</v>
          </cell>
        </row>
        <row r="396">
          <cell r="A396" t="str">
            <v>CourtPerAffärYTD</v>
          </cell>
          <cell r="C396" t="str">
            <v>Courtage per affär, SEK</v>
          </cell>
          <cell r="E396">
            <v>70</v>
          </cell>
          <cell r="F396">
            <v>70</v>
          </cell>
          <cell r="G396">
            <v>70</v>
          </cell>
          <cell r="H396">
            <v>68</v>
          </cell>
          <cell r="I396">
            <v>58.98432675842416</v>
          </cell>
          <cell r="J396">
            <v>57.125374398445246</v>
          </cell>
          <cell r="K396">
            <v>57.462573821055038</v>
          </cell>
          <cell r="L396">
            <v>55.838159212299601</v>
          </cell>
          <cell r="M396">
            <v>47.017375496540517</v>
          </cell>
          <cell r="N396">
            <v>44.346505861354963</v>
          </cell>
          <cell r="O396">
            <v>42.463422380674743</v>
          </cell>
          <cell r="P396">
            <v>40.899808771862311</v>
          </cell>
          <cell r="Q396">
            <v>34.737767488901987</v>
          </cell>
          <cell r="R396">
            <v>34.145971314500734</v>
          </cell>
          <cell r="S396">
            <v>34.058262997684785</v>
          </cell>
          <cell r="T396">
            <v>33.838351398552646</v>
          </cell>
          <cell r="U396">
            <v>32.43763203026856</v>
          </cell>
          <cell r="V396">
            <v>31.417253945472496</v>
          </cell>
          <cell r="W396">
            <v>30.970039862892353</v>
          </cell>
          <cell r="X396">
            <v>31.115695007683343</v>
          </cell>
          <cell r="Y396">
            <v>29.903023307832452</v>
          </cell>
          <cell r="Z396">
            <v>28.946000000000002</v>
          </cell>
          <cell r="AA396">
            <v>28.779968642744731</v>
          </cell>
          <cell r="AB396">
            <v>28.597486555914557</v>
          </cell>
          <cell r="AC396">
            <v>29.924745062983003</v>
          </cell>
          <cell r="AD396">
            <v>29.420211678753127</v>
          </cell>
          <cell r="AE396">
            <v>28.766618888202121</v>
          </cell>
          <cell r="AF396">
            <v>28.231231340291053</v>
          </cell>
          <cell r="AH396">
            <v>29.420211678753127</v>
          </cell>
          <cell r="AI396">
            <v>28.766618888202121</v>
          </cell>
        </row>
        <row r="397">
          <cell r="A397" t="str">
            <v>CourtPerDagYTD</v>
          </cell>
          <cell r="C397" t="str">
            <v>Courtage per handelsdag, MSEK</v>
          </cell>
          <cell r="E397">
            <v>1.2490151222983885</v>
          </cell>
          <cell r="F397">
            <v>1.1565800838912146</v>
          </cell>
          <cell r="G397">
            <v>1.104301465215634</v>
          </cell>
          <cell r="H397">
            <v>1.156970700931174</v>
          </cell>
          <cell r="I397">
            <v>1.8415763934146361</v>
          </cell>
          <cell r="J397">
            <v>1.8427436170833347</v>
          </cell>
          <cell r="K397">
            <v>1.794051579489248</v>
          </cell>
          <cell r="L397">
            <v>1.9290176581891354</v>
          </cell>
          <cell r="M397">
            <v>2.0861398009999998</v>
          </cell>
          <cell r="N397">
            <v>1.9325615972839507</v>
          </cell>
          <cell r="O397">
            <v>1.8549993622933334</v>
          </cell>
          <cell r="P397">
            <v>1.8700715337848606</v>
          </cell>
          <cell r="Q397">
            <v>1.9161703170078728</v>
          </cell>
          <cell r="R397">
            <v>1.8265004463374481</v>
          </cell>
          <cell r="S397">
            <v>1.7564906283109916</v>
          </cell>
          <cell r="T397">
            <v>1.804911795381525</v>
          </cell>
          <cell r="U397">
            <v>1.961805428064517</v>
          </cell>
          <cell r="V397">
            <v>1.7621717744628098</v>
          </cell>
          <cell r="W397">
            <v>1.7430512847849475</v>
          </cell>
          <cell r="X397">
            <v>1.7585948726868694</v>
          </cell>
          <cell r="Y397">
            <v>1.7826565023809546</v>
          </cell>
          <cell r="Z397">
            <v>1.8020240021576768</v>
          </cell>
          <cell r="AA397">
            <v>1.8382380056836451</v>
          </cell>
          <cell r="AB397">
            <v>1.878540751653226</v>
          </cell>
          <cell r="AC397">
            <v>4.2516224653798114</v>
          </cell>
          <cell r="AD397">
            <v>4.3449971003483068</v>
          </cell>
          <cell r="AE397">
            <v>4.3232940549104661</v>
          </cell>
          <cell r="AF397">
            <v>4.4081743489600012</v>
          </cell>
          <cell r="AG397">
            <v>7.1325743651311182</v>
          </cell>
          <cell r="AH397">
            <v>6.3831590446467432</v>
          </cell>
          <cell r="AI397">
            <v>5.8935582412778036</v>
          </cell>
        </row>
        <row r="398">
          <cell r="A398" t="str">
            <v>CourtOmsYTD</v>
          </cell>
          <cell r="C398" t="str">
            <v>Courtagebrutto/Omsättning, %</v>
          </cell>
          <cell r="E398">
            <v>7.1821209135956735E-4</v>
          </cell>
          <cell r="F398">
            <v>6.8993700931724029E-4</v>
          </cell>
          <cell r="G398">
            <v>7.1012781716940654E-4</v>
          </cell>
          <cell r="H398">
            <v>7.1254232739907458E-4</v>
          </cell>
          <cell r="I398">
            <v>8.8595950046208103E-4</v>
          </cell>
          <cell r="J398">
            <v>8.716530241584346E-4</v>
          </cell>
          <cell r="K398">
            <v>8.3827481541855491E-4</v>
          </cell>
          <cell r="L398">
            <v>8.1085578117897695E-4</v>
          </cell>
          <cell r="M398">
            <v>8.6831953712779872E-4</v>
          </cell>
          <cell r="N398">
            <v>8.5722502710756194E-4</v>
          </cell>
          <cell r="O398">
            <v>8.7324964235846708E-4</v>
          </cell>
          <cell r="P398">
            <v>8.8262896583138047E-4</v>
          </cell>
          <cell r="Q398">
            <v>9.4974631477572308E-4</v>
          </cell>
          <cell r="R398">
            <v>9.3750368456064657E-4</v>
          </cell>
          <cell r="S398">
            <v>9.3833293542940923E-4</v>
          </cell>
          <cell r="T398">
            <v>9.618886396088103E-4</v>
          </cell>
          <cell r="U398">
            <v>1.0004406921875039E-3</v>
          </cell>
          <cell r="V398">
            <v>9.702320805733592E-4</v>
          </cell>
          <cell r="W398">
            <v>9.7553811819445972E-4</v>
          </cell>
          <cell r="X398">
            <v>9.7740847929367173E-4</v>
          </cell>
          <cell r="Y398">
            <v>9.406240941130993E-4</v>
          </cell>
          <cell r="Z398">
            <v>9.702185325724279E-4</v>
          </cell>
          <cell r="AA398">
            <v>1.0031857422319675E-3</v>
          </cell>
          <cell r="AB398">
            <v>9.9714454209764839E-4</v>
          </cell>
          <cell r="AC398">
            <v>1.0831242380396134E-3</v>
          </cell>
          <cell r="AD398">
            <v>1.0801646452313373E-3</v>
          </cell>
          <cell r="AE398">
            <v>1.0990734881135959E-3</v>
          </cell>
          <cell r="AF398">
            <v>1.1069371932153494E-3</v>
          </cell>
          <cell r="AG398">
            <v>1.2201044730129589E-3</v>
          </cell>
          <cell r="AH398">
            <v>1.1869414733628994E-3</v>
          </cell>
          <cell r="AI398">
            <v>1.1634213289926857E-3</v>
          </cell>
        </row>
        <row r="399">
          <cell r="A399" t="str">
            <v>HandelsdagarYTD</v>
          </cell>
          <cell r="C399" t="str">
            <v>Handelsdagar, st</v>
          </cell>
          <cell r="E399">
            <v>62</v>
          </cell>
          <cell r="F399">
            <v>119.5</v>
          </cell>
          <cell r="G399">
            <v>185.5</v>
          </cell>
          <cell r="H399">
            <v>247</v>
          </cell>
          <cell r="I399">
            <v>61.5</v>
          </cell>
          <cell r="J399">
            <v>120</v>
          </cell>
          <cell r="K399">
            <v>186</v>
          </cell>
          <cell r="L399">
            <v>248.5</v>
          </cell>
          <cell r="M399">
            <v>60</v>
          </cell>
          <cell r="N399">
            <v>121.5</v>
          </cell>
          <cell r="O399">
            <v>187.5</v>
          </cell>
          <cell r="P399">
            <v>251</v>
          </cell>
          <cell r="Q399">
            <v>63.5</v>
          </cell>
          <cell r="R399">
            <v>121.5</v>
          </cell>
          <cell r="S399">
            <v>186.5</v>
          </cell>
          <cell r="T399">
            <v>249</v>
          </cell>
          <cell r="U399">
            <v>62</v>
          </cell>
          <cell r="V399">
            <v>121</v>
          </cell>
          <cell r="W399">
            <v>186</v>
          </cell>
          <cell r="X399">
            <v>247.5</v>
          </cell>
          <cell r="Y399">
            <v>63</v>
          </cell>
          <cell r="Z399">
            <v>120.5</v>
          </cell>
          <cell r="AA399">
            <v>186.5</v>
          </cell>
          <cell r="AB399">
            <v>248</v>
          </cell>
          <cell r="AC399">
            <v>63</v>
          </cell>
          <cell r="AD399">
            <v>121.5</v>
          </cell>
          <cell r="AE399">
            <v>187.5</v>
          </cell>
          <cell r="AF399">
            <v>250</v>
          </cell>
          <cell r="AG399">
            <v>61.5</v>
          </cell>
          <cell r="AH399">
            <v>121</v>
          </cell>
          <cell r="AI399">
            <v>187</v>
          </cell>
        </row>
        <row r="400">
          <cell r="A400" t="str">
            <v>SnittAnställdaYTD</v>
          </cell>
          <cell r="C400" t="str">
            <v>Medeltal anställda, st</v>
          </cell>
          <cell r="F400">
            <v>281.5</v>
          </cell>
          <cell r="G400">
            <v>284.33333333333331</v>
          </cell>
          <cell r="H400">
            <v>287.25</v>
          </cell>
          <cell r="I400">
            <v>308</v>
          </cell>
          <cell r="J400">
            <v>313.33333333333331</v>
          </cell>
          <cell r="K400">
            <v>320</v>
          </cell>
          <cell r="L400">
            <v>322.8</v>
          </cell>
          <cell r="M400">
            <v>332</v>
          </cell>
          <cell r="N400">
            <v>332</v>
          </cell>
          <cell r="O400">
            <v>337.75</v>
          </cell>
          <cell r="P400">
            <v>343.2</v>
          </cell>
          <cell r="Q400">
            <v>369.5</v>
          </cell>
          <cell r="R400">
            <v>372.66666666666669</v>
          </cell>
          <cell r="S400">
            <v>380.75</v>
          </cell>
          <cell r="T400">
            <v>382.67150967741935</v>
          </cell>
          <cell r="U400">
            <v>392.50433306451612</v>
          </cell>
          <cell r="V400">
            <v>397.40695537634406</v>
          </cell>
          <cell r="W400">
            <v>402.03700611559134</v>
          </cell>
          <cell r="X400">
            <v>406.08935916666667</v>
          </cell>
          <cell r="Y400">
            <v>420.64429697580653</v>
          </cell>
          <cell r="Z400">
            <v>419.52652742831543</v>
          </cell>
          <cell r="AA400">
            <v>425.39489557123659</v>
          </cell>
          <cell r="AB400">
            <v>429.22473451354045</v>
          </cell>
          <cell r="AC400">
            <v>452.27204514137793</v>
          </cell>
          <cell r="AD400">
            <v>458.84803009425195</v>
          </cell>
          <cell r="AE400">
            <v>469.63602257068897</v>
          </cell>
          <cell r="AF400">
            <v>477.70881805655119</v>
          </cell>
          <cell r="AG400">
            <v>518</v>
          </cell>
          <cell r="AH400">
            <v>533.33333333333337</v>
          </cell>
          <cell r="AI400">
            <v>549.5</v>
          </cell>
        </row>
        <row r="401">
          <cell r="A401" t="str">
            <v>DriftstillgYTD</v>
          </cell>
          <cell r="C401" t="str">
            <v>Driftstillgänglighet plattform, %</v>
          </cell>
          <cell r="E401">
            <v>0.997</v>
          </cell>
          <cell r="F401">
            <v>0.99649999999999994</v>
          </cell>
          <cell r="G401">
            <v>0.99733333333333329</v>
          </cell>
          <cell r="H401">
            <v>0.99750000000000005</v>
          </cell>
          <cell r="I401">
            <v>0.998</v>
          </cell>
          <cell r="J401">
            <v>0.999</v>
          </cell>
          <cell r="K401">
            <v>0.99933333333333341</v>
          </cell>
          <cell r="L401">
            <v>0.99950000000000006</v>
          </cell>
          <cell r="M401">
            <v>0.99960000000000004</v>
          </cell>
          <cell r="N401">
            <v>0.99965000000000004</v>
          </cell>
          <cell r="O401">
            <v>0.99976666666666658</v>
          </cell>
          <cell r="P401">
            <v>0.99885000000000002</v>
          </cell>
          <cell r="Q401">
            <v>0.99950000000000006</v>
          </cell>
          <cell r="R401">
            <v>0.99975000000000003</v>
          </cell>
          <cell r="S401">
            <v>0.99983333333333346</v>
          </cell>
          <cell r="T401">
            <v>0.99940000000000007</v>
          </cell>
          <cell r="U401">
            <v>1</v>
          </cell>
          <cell r="V401">
            <v>1</v>
          </cell>
          <cell r="W401">
            <v>1</v>
          </cell>
          <cell r="X401">
            <v>1</v>
          </cell>
          <cell r="Y401">
            <v>0.99900404606286963</v>
          </cell>
          <cell r="Z401">
            <v>0.99835202303143489</v>
          </cell>
          <cell r="AA401">
            <v>0.99870134868762328</v>
          </cell>
          <cell r="AB401">
            <v>0.99882601151571748</v>
          </cell>
          <cell r="AC401">
            <v>0.99809999999999999</v>
          </cell>
          <cell r="AD401">
            <v>0.99904999999999999</v>
          </cell>
          <cell r="AE401">
            <v>0.99870000000000003</v>
          </cell>
          <cell r="AF401">
            <v>0.99902500000000005</v>
          </cell>
          <cell r="AG401">
            <v>0.99945701357466066</v>
          </cell>
          <cell r="AH401">
            <v>0.99972850678733027</v>
          </cell>
          <cell r="AI401">
            <v>0.99976872800402206</v>
          </cell>
        </row>
        <row r="403">
          <cell r="C403" t="str">
            <v>Ekonomisk översikt - 4Q (kSEK)</v>
          </cell>
        </row>
        <row r="404">
          <cell r="A404" t="str">
            <v>Bruttocourtage4Q</v>
          </cell>
          <cell r="C404" t="str">
            <v>Courtageintäkter (brutto)</v>
          </cell>
          <cell r="H404">
            <v>332523.4752932454</v>
          </cell>
          <cell r="I404">
            <v>371453.75084321341</v>
          </cell>
          <cell r="J404">
            <v>424188.33904369519</v>
          </cell>
          <cell r="K404">
            <v>477174.21331000002</v>
          </cell>
          <cell r="L404">
            <v>550199.15972999996</v>
          </cell>
          <cell r="M404">
            <v>567698.12999999989</v>
          </cell>
          <cell r="N404">
            <v>570617.80245999992</v>
          </cell>
          <cell r="O404">
            <v>570775.31645000004</v>
          </cell>
          <cell r="P404">
            <v>542803.00649000006</v>
          </cell>
          <cell r="Q404">
            <v>536459.96072000009</v>
          </cell>
          <cell r="R404">
            <v>528380.01298</v>
          </cell>
          <cell r="S404">
            <v>523229.28787999996</v>
          </cell>
          <cell r="T404">
            <v>528074.51820999943</v>
          </cell>
          <cell r="U404">
            <v>531853.51820999943</v>
          </cell>
          <cell r="V404">
            <v>525435.06540999934</v>
          </cell>
          <cell r="W404">
            <v>532119.34736999974</v>
          </cell>
          <cell r="X404">
            <v>520351.95819000015</v>
          </cell>
          <cell r="Y404">
            <v>510636.82806000015</v>
          </cell>
          <cell r="Z404">
            <v>524816.04284000024</v>
          </cell>
          <cell r="AA404">
            <v>542584.78645999986</v>
          </cell>
          <cell r="AB404">
            <v>556203.24169000052</v>
          </cell>
          <cell r="AC404">
            <v>728194.06405000051</v>
          </cell>
          <cell r="AD404">
            <v>901247.66074999981</v>
          </cell>
          <cell r="AE404">
            <v>1078512.7107700002</v>
          </cell>
          <cell r="AF404">
            <v>1271629.1928199993</v>
          </cell>
          <cell r="AG404">
            <v>1481100.4024499992</v>
          </cell>
          <cell r="AH404">
            <v>1568377.9297299997</v>
          </cell>
          <cell r="AI404">
            <v>1622890.5919100014</v>
          </cell>
        </row>
        <row r="405">
          <cell r="A405" t="str">
            <v>CourtageInt4Q</v>
          </cell>
          <cell r="C405" t="str">
            <v>Courtageintäkter (netto)</v>
          </cell>
          <cell r="H405">
            <v>285771.76313000004</v>
          </cell>
          <cell r="I405">
            <v>321589.77374250011</v>
          </cell>
          <cell r="J405">
            <v>368689.67715500004</v>
          </cell>
          <cell r="K405">
            <v>414617.43511750008</v>
          </cell>
          <cell r="L405">
            <v>479360.88806000014</v>
          </cell>
          <cell r="M405">
            <v>491272.32792499999</v>
          </cell>
          <cell r="N405">
            <v>493037.88807999995</v>
          </cell>
          <cell r="O405">
            <v>493479.67470500001</v>
          </cell>
          <cell r="P405">
            <v>469387.95498000004</v>
          </cell>
          <cell r="Q405">
            <v>465896.38204999996</v>
          </cell>
          <cell r="R405">
            <v>456501.52513999993</v>
          </cell>
          <cell r="S405">
            <v>449161.07672999991</v>
          </cell>
          <cell r="T405">
            <v>449423.03704999969</v>
          </cell>
          <cell r="U405">
            <v>449378.15845999983</v>
          </cell>
          <cell r="V405">
            <v>440726.01752999972</v>
          </cell>
          <cell r="W405">
            <v>446045.07384000008</v>
          </cell>
          <cell r="X405">
            <v>435252.23099000019</v>
          </cell>
          <cell r="Y405">
            <v>425927.65410000028</v>
          </cell>
          <cell r="Z405">
            <v>439173.33854000026</v>
          </cell>
          <cell r="AA405">
            <v>453876.08007999975</v>
          </cell>
          <cell r="AB405">
            <v>465878.10641000007</v>
          </cell>
          <cell r="AC405">
            <v>621422.96207892802</v>
          </cell>
          <cell r="AD405">
            <v>776651.36184231937</v>
          </cell>
          <cell r="AE405">
            <v>933664.3536457126</v>
          </cell>
          <cell r="AF405">
            <v>1102043.5872400003</v>
          </cell>
          <cell r="AG405">
            <v>1272844.695376636</v>
          </cell>
          <cell r="AH405">
            <v>1346488.6839499369</v>
          </cell>
          <cell r="AI405">
            <v>1393521.3430632371</v>
          </cell>
        </row>
        <row r="406">
          <cell r="A406" t="str">
            <v>FondprovisBrutto4Q</v>
          </cell>
          <cell r="C406" t="str">
            <v>Fondprovisioner (brutto)</v>
          </cell>
          <cell r="AD406">
            <v>362026.78941000003</v>
          </cell>
          <cell r="AE406">
            <v>384677.66701000003</v>
          </cell>
          <cell r="AF406">
            <v>417976.28688000003</v>
          </cell>
          <cell r="AG406">
            <v>473352.4982700001</v>
          </cell>
          <cell r="AH406">
            <v>552416.19498000003</v>
          </cell>
          <cell r="AI406">
            <v>622690.26587</v>
          </cell>
        </row>
        <row r="407">
          <cell r="A407" t="str">
            <v>Fondprovis4Q</v>
          </cell>
          <cell r="C407" t="str">
            <v>Fondprovisioner</v>
          </cell>
          <cell r="H407">
            <v>113835.57535000003</v>
          </cell>
          <cell r="I407">
            <v>129000.71166000003</v>
          </cell>
          <cell r="J407">
            <v>145742.94359000004</v>
          </cell>
          <cell r="K407">
            <v>152574.84899000006</v>
          </cell>
          <cell r="L407">
            <v>159669.38581000004</v>
          </cell>
          <cell r="M407">
            <v>156942.01280000003</v>
          </cell>
          <cell r="N407">
            <v>151373.93270999999</v>
          </cell>
          <cell r="O407">
            <v>158049.96812999999</v>
          </cell>
          <cell r="P407">
            <v>167522.05773</v>
          </cell>
          <cell r="Q407">
            <v>183040.82425999996</v>
          </cell>
          <cell r="R407">
            <v>205818.32800999997</v>
          </cell>
          <cell r="S407">
            <v>223121.65684999997</v>
          </cell>
          <cell r="T407">
            <v>239654.20903</v>
          </cell>
          <cell r="U407">
            <v>259215.15667000005</v>
          </cell>
          <cell r="V407">
            <v>272644.04423000006</v>
          </cell>
          <cell r="W407">
            <v>291644.31919000007</v>
          </cell>
          <cell r="X407">
            <v>300917.60233000002</v>
          </cell>
          <cell r="Y407">
            <v>300550.69459000003</v>
          </cell>
          <cell r="Z407">
            <v>308738.49628000002</v>
          </cell>
          <cell r="AA407">
            <v>314288.31660000002</v>
          </cell>
          <cell r="AB407">
            <v>331963.05083000008</v>
          </cell>
          <cell r="AC407">
            <v>356563.28544000007</v>
          </cell>
          <cell r="AD407">
            <v>362026.78941000003</v>
          </cell>
          <cell r="AE407">
            <v>384677.66701000003</v>
          </cell>
          <cell r="AF407">
            <v>417976.28688000003</v>
          </cell>
          <cell r="AG407">
            <v>471917.87215000007</v>
          </cell>
          <cell r="AH407">
            <v>545266.56376000016</v>
          </cell>
          <cell r="AI407">
            <v>609629.33210000012</v>
          </cell>
        </row>
        <row r="408">
          <cell r="A408" t="str">
            <v>Valutanetto4Q</v>
          </cell>
          <cell r="C408" t="str">
            <v>Valutanetto</v>
          </cell>
          <cell r="Y408">
            <v>31567.26228000001</v>
          </cell>
          <cell r="Z408">
            <v>60885.028610000008</v>
          </cell>
          <cell r="AA408">
            <v>93794.952320000011</v>
          </cell>
          <cell r="AB408">
            <v>124635.17393000002</v>
          </cell>
          <cell r="AC408">
            <v>165724.70109000002</v>
          </cell>
          <cell r="AD408">
            <v>216954.75091999999</v>
          </cell>
          <cell r="AE408">
            <v>272020.74896</v>
          </cell>
          <cell r="AF408">
            <v>355193.85960999998</v>
          </cell>
          <cell r="AG408">
            <v>529822.93360999995</v>
          </cell>
          <cell r="AH408">
            <v>577960.59828000003</v>
          </cell>
          <cell r="AI408">
            <v>604438.40394999995</v>
          </cell>
        </row>
        <row r="409">
          <cell r="A409" t="str">
            <v>Räntenetto4Q</v>
          </cell>
          <cell r="C409" t="str">
            <v>Räntenetto</v>
          </cell>
          <cell r="H409">
            <v>191509.71055000002</v>
          </cell>
          <cell r="I409">
            <v>185551.70449999999</v>
          </cell>
          <cell r="J409">
            <v>169463.79852000001</v>
          </cell>
          <cell r="K409">
            <v>152847.20927000002</v>
          </cell>
          <cell r="L409">
            <v>138719.62313000002</v>
          </cell>
          <cell r="M409">
            <v>126918.27520999996</v>
          </cell>
          <cell r="N409">
            <v>117701.39993999997</v>
          </cell>
          <cell r="O409">
            <v>114168.90349999996</v>
          </cell>
          <cell r="P409">
            <v>114268.73663999999</v>
          </cell>
          <cell r="Q409">
            <v>111780.39906000003</v>
          </cell>
          <cell r="R409">
            <v>111607.09347000004</v>
          </cell>
          <cell r="S409">
            <v>111480.36664000008</v>
          </cell>
          <cell r="T409">
            <v>107508.67403000002</v>
          </cell>
          <cell r="U409">
            <v>101193.90350000003</v>
          </cell>
          <cell r="V409">
            <v>96771.07170000003</v>
          </cell>
          <cell r="W409">
            <v>96066.907220000023</v>
          </cell>
          <cell r="X409">
            <v>90557.934590000077</v>
          </cell>
          <cell r="Y409">
            <v>98160.957000000068</v>
          </cell>
          <cell r="Z409">
            <v>117782.07432999999</v>
          </cell>
          <cell r="AA409">
            <v>138035.40930999999</v>
          </cell>
          <cell r="AB409">
            <v>165333.36158999996</v>
          </cell>
          <cell r="AC409">
            <v>198729.57696000003</v>
          </cell>
          <cell r="AD409">
            <v>230170.20795000001</v>
          </cell>
          <cell r="AE409">
            <v>259027.78546000004</v>
          </cell>
          <cell r="AF409">
            <v>283316.14986</v>
          </cell>
          <cell r="AG409">
            <v>296034.50786999997</v>
          </cell>
          <cell r="AH409">
            <v>302607.87489000009</v>
          </cell>
          <cell r="AI409">
            <v>311846.02350000013</v>
          </cell>
        </row>
        <row r="410">
          <cell r="A410" t="str">
            <v>ÖvrInt4Q</v>
          </cell>
          <cell r="C410" t="str">
            <v>Övriga intäkter</v>
          </cell>
          <cell r="H410">
            <v>86953.231054688295</v>
          </cell>
          <cell r="I410">
            <v>93120.662143131005</v>
          </cell>
          <cell r="J410">
            <v>110171.0602630362</v>
          </cell>
          <cell r="K410">
            <v>113545.21542883429</v>
          </cell>
          <cell r="L410">
            <v>118090.4485484437</v>
          </cell>
          <cell r="M410">
            <v>125426.3746499995</v>
          </cell>
          <cell r="N410">
            <v>134060.65586999941</v>
          </cell>
          <cell r="O410">
            <v>147907.89167999901</v>
          </cell>
          <cell r="P410">
            <v>157448.05029999852</v>
          </cell>
          <cell r="Q410">
            <v>168319.5222500005</v>
          </cell>
          <cell r="R410">
            <v>167986.5787599936</v>
          </cell>
          <cell r="S410">
            <v>166129.3233599957</v>
          </cell>
          <cell r="T410">
            <v>178910.6555199943</v>
          </cell>
          <cell r="U410">
            <v>192534.6058699881</v>
          </cell>
          <cell r="V410">
            <v>202313.4911899892</v>
          </cell>
          <cell r="W410">
            <v>219116.9467599772</v>
          </cell>
          <cell r="X410">
            <v>222269.04749997263</v>
          </cell>
          <cell r="Y410">
            <v>189130.59595264474</v>
          </cell>
          <cell r="Z410">
            <v>159173.38348442205</v>
          </cell>
          <cell r="AA410">
            <v>131697.91633800158</v>
          </cell>
          <cell r="AB410">
            <v>105640.24423997727</v>
          </cell>
          <cell r="AC410">
            <v>125012.03278445591</v>
          </cell>
          <cell r="AD410">
            <v>123194.60669232933</v>
          </cell>
          <cell r="AE410">
            <v>121978.37805923959</v>
          </cell>
          <cell r="AF410">
            <v>190251.35698726238</v>
          </cell>
          <cell r="AG410">
            <v>193253.34687695431</v>
          </cell>
          <cell r="AH410">
            <v>219472.53842411764</v>
          </cell>
          <cell r="AI410">
            <v>263894.89773044811</v>
          </cell>
        </row>
        <row r="411">
          <cell r="C411" t="str">
            <v>Rörelsens intäkter</v>
          </cell>
          <cell r="E411">
            <v>0</v>
          </cell>
          <cell r="F411">
            <v>0</v>
          </cell>
          <cell r="G411">
            <v>0</v>
          </cell>
          <cell r="H411">
            <v>678070.28008468845</v>
          </cell>
          <cell r="I411">
            <v>729262.85204563115</v>
          </cell>
          <cell r="J411">
            <v>794067.47952803632</v>
          </cell>
          <cell r="K411">
            <v>833584.70880633441</v>
          </cell>
          <cell r="L411">
            <v>895840.34554844385</v>
          </cell>
          <cell r="M411">
            <v>900558.99058499956</v>
          </cell>
          <cell r="N411">
            <v>896173.87659999938</v>
          </cell>
          <cell r="O411">
            <v>913606.43801499903</v>
          </cell>
          <cell r="P411">
            <v>908626.79964999855</v>
          </cell>
          <cell r="Q411">
            <v>929037.12762000051</v>
          </cell>
          <cell r="R411">
            <v>941913.52537999349</v>
          </cell>
          <cell r="S411">
            <v>949892.42357999564</v>
          </cell>
          <cell r="T411">
            <v>975496.57562999404</v>
          </cell>
          <cell r="U411">
            <v>1002321.824499988</v>
          </cell>
          <cell r="V411">
            <v>1012454.624649989</v>
          </cell>
          <cell r="W411">
            <v>1052873.2470099775</v>
          </cell>
          <cell r="X411">
            <v>1048996.8154099728</v>
          </cell>
          <cell r="Y411">
            <v>1045337.1639226452</v>
          </cell>
          <cell r="Z411">
            <v>1085752.3212444223</v>
          </cell>
          <cell r="AA411">
            <v>1131692.6746480013</v>
          </cell>
          <cell r="AB411">
            <v>1193449.9369999773</v>
          </cell>
          <cell r="AC411">
            <v>1467452.558353384</v>
          </cell>
          <cell r="AD411">
            <v>1708997.7168146486</v>
          </cell>
          <cell r="AE411">
            <v>1971368.9331349521</v>
          </cell>
          <cell r="AF411">
            <v>2348781.2405772624</v>
          </cell>
          <cell r="AG411">
            <v>2763873.3558835899</v>
          </cell>
          <cell r="AH411">
            <v>2991796.2593040545</v>
          </cell>
          <cell r="AI411">
            <v>3183330.000343685</v>
          </cell>
        </row>
        <row r="412">
          <cell r="C412" t="str">
            <v>Check</v>
          </cell>
          <cell r="H412">
            <v>-1.5521700002718717</v>
          </cell>
          <cell r="I412">
            <v>-2.5458434440661222</v>
          </cell>
          <cell r="J412">
            <v>0.39356155402492732</v>
          </cell>
          <cell r="K412">
            <v>-1.3394334459444508</v>
          </cell>
          <cell r="L412">
            <v>-9.9118443788029253E-2</v>
          </cell>
          <cell r="M412">
            <v>0.68988500058185309</v>
          </cell>
          <cell r="N412">
            <v>-0.42163999914191663</v>
          </cell>
          <cell r="O412">
            <v>0.45699499826878309</v>
          </cell>
          <cell r="P412">
            <v>0.22699999716132879</v>
          </cell>
          <cell r="Q412">
            <v>8.3299956750124693E-3</v>
          </cell>
          <cell r="R412">
            <v>-9.7689997288398445E-2</v>
          </cell>
          <cell r="S412">
            <v>-0.2636899973731488</v>
          </cell>
          <cell r="T412">
            <v>0.36943000822793692</v>
          </cell>
          <cell r="U412">
            <v>0.58810001413803548</v>
          </cell>
          <cell r="V412">
            <v>0.71289001486729831</v>
          </cell>
          <cell r="W412">
            <v>0.75789002398960292</v>
          </cell>
          <cell r="X412">
            <v>0.11877982690930367</v>
          </cell>
          <cell r="Y412">
            <v>0.11877983063459396</v>
          </cell>
          <cell r="Z412">
            <v>-5.960134556517005E-3</v>
          </cell>
          <cell r="AA412">
            <v>-6.9601722061634064E-3</v>
          </cell>
          <cell r="AB412">
            <v>-9.6997292712330818E-4</v>
          </cell>
          <cell r="AC412">
            <v>-9.699738584458828E-4</v>
          </cell>
          <cell r="AD412">
            <v>-8.1700037699192762E-3</v>
          </cell>
          <cell r="AE412">
            <v>-7.1699642576277256E-3</v>
          </cell>
          <cell r="AF412">
            <v>3.0037015676498413E-5</v>
          </cell>
          <cell r="AG412">
            <v>2.9995106160640717E-5</v>
          </cell>
          <cell r="AH412">
            <v>0</v>
          </cell>
          <cell r="AI412">
            <v>7.1999542415142059E-3</v>
          </cell>
        </row>
        <row r="414">
          <cell r="A414" t="str">
            <v>Personalkostn4Q</v>
          </cell>
          <cell r="C414" t="str">
            <v>Personal</v>
          </cell>
          <cell r="H414">
            <v>-233817.68149000028</v>
          </cell>
          <cell r="I414">
            <v>-240286.34682000012</v>
          </cell>
          <cell r="J414">
            <v>-250608.45133000019</v>
          </cell>
          <cell r="K414">
            <v>-258158.56581000017</v>
          </cell>
          <cell r="L414">
            <v>-266182.68067000026</v>
          </cell>
          <cell r="M414">
            <v>-274095.88581000036</v>
          </cell>
          <cell r="N414">
            <v>-279153.39413000026</v>
          </cell>
          <cell r="O414">
            <v>-282410.47009737673</v>
          </cell>
          <cell r="P414">
            <v>-290442.55455344147</v>
          </cell>
          <cell r="Q414">
            <v>-299715.60476950643</v>
          </cell>
          <cell r="R414">
            <v>-312805.13978000009</v>
          </cell>
          <cell r="S414">
            <v>-324773.24762262346</v>
          </cell>
          <cell r="T414">
            <v>-340073.56073655869</v>
          </cell>
          <cell r="U414">
            <v>-349006.20293049375</v>
          </cell>
          <cell r="V414">
            <v>-359732.50893000001</v>
          </cell>
          <cell r="W414">
            <v>-368927.72006999998</v>
          </cell>
          <cell r="X414">
            <v>-367356.42936999968</v>
          </cell>
          <cell r="Y414">
            <v>-379615.36318999971</v>
          </cell>
          <cell r="Z414">
            <v>-389154.93062479579</v>
          </cell>
          <cell r="AA414">
            <v>-396699.40108959179</v>
          </cell>
          <cell r="AB414">
            <v>-414455.06788438797</v>
          </cell>
          <cell r="AC414">
            <v>-422962.94177999999</v>
          </cell>
          <cell r="AD414">
            <v>-436140.63569050306</v>
          </cell>
          <cell r="AE414">
            <v>-448666.82391031703</v>
          </cell>
          <cell r="AF414">
            <v>-468736.03128013096</v>
          </cell>
          <cell r="AG414">
            <v>-494224.77871912904</v>
          </cell>
          <cell r="AH414">
            <v>-518918.39954470005</v>
          </cell>
          <cell r="AI414">
            <v>-540734.09850009007</v>
          </cell>
        </row>
        <row r="415">
          <cell r="A415" t="str">
            <v>MFkostn4Q</v>
          </cell>
          <cell r="C415" t="str">
            <v>Marknadsföring</v>
          </cell>
          <cell r="H415">
            <v>-19571.627529999998</v>
          </cell>
          <cell r="I415">
            <v>-22859.499589999999</v>
          </cell>
          <cell r="J415">
            <v>-21656.077799999999</v>
          </cell>
          <cell r="K415">
            <v>-21811.467800000002</v>
          </cell>
          <cell r="L415">
            <v>-18239.82662</v>
          </cell>
          <cell r="M415">
            <v>-16252.124449999999</v>
          </cell>
          <cell r="N415">
            <v>-16537.35601</v>
          </cell>
          <cell r="O415">
            <v>-16299.722460000001</v>
          </cell>
          <cell r="P415">
            <v>-21665.55618</v>
          </cell>
          <cell r="Q415">
            <v>-21221.027439999998</v>
          </cell>
          <cell r="R415">
            <v>-19576.154740000002</v>
          </cell>
          <cell r="S415">
            <v>-19643.607799999998</v>
          </cell>
          <cell r="T415">
            <v>-18306.41388</v>
          </cell>
          <cell r="U415">
            <v>-18760.523010000001</v>
          </cell>
          <cell r="V415">
            <v>-19633.227790000004</v>
          </cell>
          <cell r="W415">
            <v>-20933.089440000003</v>
          </cell>
          <cell r="X415">
            <v>-16853.893480000002</v>
          </cell>
          <cell r="Y415">
            <v>-19956.640270000004</v>
          </cell>
          <cell r="Z415">
            <v>-20188.222760000004</v>
          </cell>
          <cell r="AA415">
            <v>-19703.534810000001</v>
          </cell>
          <cell r="AB415">
            <v>-18586.831699999999</v>
          </cell>
          <cell r="AC415">
            <v>-18500.905169999998</v>
          </cell>
          <cell r="AD415">
            <v>-17347.946920000002</v>
          </cell>
          <cell r="AE415">
            <v>-19669.11479</v>
          </cell>
          <cell r="AF415">
            <v>-21814.807560000001</v>
          </cell>
          <cell r="AG415">
            <v>-23225.156269999999</v>
          </cell>
          <cell r="AH415">
            <v>-23924.56162185008</v>
          </cell>
          <cell r="AI415">
            <v>-21801.0755846252</v>
          </cell>
        </row>
        <row r="416">
          <cell r="C416" t="str">
            <v>Avskrivningar</v>
          </cell>
          <cell r="H416">
            <v>-7460.7646199999999</v>
          </cell>
          <cell r="I416">
            <v>-7297.5035799999996</v>
          </cell>
          <cell r="J416">
            <v>-7509.2302300000001</v>
          </cell>
          <cell r="K416">
            <v>-7681.1444699999993</v>
          </cell>
          <cell r="L416">
            <v>-8220</v>
          </cell>
          <cell r="M416">
            <v>-8614.6096899999993</v>
          </cell>
          <cell r="N416">
            <v>-8554.5186400000002</v>
          </cell>
          <cell r="O416">
            <v>-8290.7731300000014</v>
          </cell>
          <cell r="P416">
            <v>-8059.0044199999993</v>
          </cell>
          <cell r="Q416">
            <v>-7707.5864899999979</v>
          </cell>
          <cell r="R416">
            <v>-7777.666659999999</v>
          </cell>
          <cell r="S416">
            <v>-11078.303299999998</v>
          </cell>
          <cell r="T416">
            <v>-12103.937610000001</v>
          </cell>
          <cell r="U416">
            <v>-14844.326520000002</v>
          </cell>
          <cell r="V416">
            <v>-17645.547549999999</v>
          </cell>
          <cell r="W416">
            <v>-17458.939380000018</v>
          </cell>
          <cell r="X416">
            <v>-19656.599200000026</v>
          </cell>
          <cell r="Y416">
            <v>-28552.165800000024</v>
          </cell>
          <cell r="Z416">
            <v>-37389.75524000002</v>
          </cell>
          <cell r="AA416">
            <v>-46055.962310000003</v>
          </cell>
          <cell r="AB416">
            <v>-63125.238150000179</v>
          </cell>
          <cell r="AC416">
            <v>-63934.710260000174</v>
          </cell>
          <cell r="AD416">
            <v>-66908.89151000019</v>
          </cell>
          <cell r="AE416">
            <v>-72412.609440000175</v>
          </cell>
          <cell r="AF416">
            <v>-84189.470720000012</v>
          </cell>
          <cell r="AG416">
            <v>-86754.365660000054</v>
          </cell>
          <cell r="AH416">
            <v>-87398.388140000068</v>
          </cell>
          <cell r="AI416">
            <v>-86008.069400000502</v>
          </cell>
        </row>
        <row r="417">
          <cell r="A417" t="str">
            <v>Övrkostn4Q</v>
          </cell>
          <cell r="C417" t="str">
            <v>Övriga kostnader</v>
          </cell>
          <cell r="H417">
            <v>-121891.3833699254</v>
          </cell>
          <cell r="I417">
            <v>-124507.49381462349</v>
          </cell>
          <cell r="J417">
            <v>-125766.8096854676</v>
          </cell>
          <cell r="K417">
            <v>-120217.07547675</v>
          </cell>
          <cell r="L417">
            <v>-118355.2673074108</v>
          </cell>
          <cell r="M417">
            <v>-117129.60644389852</v>
          </cell>
          <cell r="N417">
            <v>-117267.32300041761</v>
          </cell>
          <cell r="O417">
            <v>-117965.55182687947</v>
          </cell>
          <cell r="P417">
            <v>-123078.98314770788</v>
          </cell>
          <cell r="Q417">
            <v>-129258.4462065534</v>
          </cell>
          <cell r="R417">
            <v>-138972.17476272874</v>
          </cell>
          <cell r="S417">
            <v>-150267.07254811469</v>
          </cell>
          <cell r="T417">
            <v>-164352.03021936212</v>
          </cell>
          <cell r="U417">
            <v>-180285.71023574597</v>
          </cell>
          <cell r="V417">
            <v>-188446.03029993491</v>
          </cell>
          <cell r="W417">
            <v>-189718.97191630059</v>
          </cell>
          <cell r="X417">
            <v>-225446.7752203893</v>
          </cell>
          <cell r="Y417">
            <v>-213274.57409285527</v>
          </cell>
          <cell r="Z417">
            <v>-207395.0706378149</v>
          </cell>
          <cell r="AA417">
            <v>-205522.51535267761</v>
          </cell>
          <cell r="AB417">
            <v>-169354.9575720586</v>
          </cell>
          <cell r="AC417">
            <v>-174772.03052580351</v>
          </cell>
          <cell r="AD417">
            <v>-179363.82099583879</v>
          </cell>
          <cell r="AE417">
            <v>-187792.35518296692</v>
          </cell>
          <cell r="AF417">
            <v>-187852.53861902261</v>
          </cell>
          <cell r="AG417">
            <v>-181938.90805603081</v>
          </cell>
          <cell r="AH417">
            <v>-186872.15261569238</v>
          </cell>
          <cell r="AI417">
            <v>-183842.67862580868</v>
          </cell>
        </row>
        <row r="418">
          <cell r="C418" t="str">
            <v>Rörelsens kostnader före kreditförluster</v>
          </cell>
          <cell r="E418">
            <v>0</v>
          </cell>
          <cell r="F418">
            <v>0</v>
          </cell>
          <cell r="G418">
            <v>0</v>
          </cell>
          <cell r="H418">
            <v>-382741.45700992568</v>
          </cell>
          <cell r="I418">
            <v>-394950.84380462364</v>
          </cell>
          <cell r="J418">
            <v>-405540.56904546777</v>
          </cell>
          <cell r="K418">
            <v>-407868.25355675013</v>
          </cell>
          <cell r="L418">
            <v>-410997.77459741104</v>
          </cell>
          <cell r="M418">
            <v>-416092.22639389889</v>
          </cell>
          <cell r="N418">
            <v>-421512.59178041789</v>
          </cell>
          <cell r="O418">
            <v>-424966.51751425618</v>
          </cell>
          <cell r="P418">
            <v>-443246.09830114938</v>
          </cell>
          <cell r="Q418">
            <v>-457902.66490605986</v>
          </cell>
          <cell r="R418">
            <v>-479131.13594272884</v>
          </cell>
          <cell r="S418">
            <v>-505762.23127073812</v>
          </cell>
          <cell r="T418">
            <v>-534835.94244592078</v>
          </cell>
          <cell r="U418">
            <v>-562896.76269623975</v>
          </cell>
          <cell r="V418">
            <v>-585457.31456993497</v>
          </cell>
          <cell r="W418">
            <v>-597038.72080630064</v>
          </cell>
          <cell r="X418">
            <v>-629313.69727038895</v>
          </cell>
          <cell r="Y418">
            <v>-641398.74335285497</v>
          </cell>
          <cell r="Z418">
            <v>-654127.97926261066</v>
          </cell>
          <cell r="AA418">
            <v>-667981.41356226942</v>
          </cell>
          <cell r="AB418">
            <v>-665522.09530644678</v>
          </cell>
          <cell r="AC418">
            <v>-680170.58773580368</v>
          </cell>
          <cell r="AD418">
            <v>-699761.29511634214</v>
          </cell>
          <cell r="AE418">
            <v>-728540.90332328412</v>
          </cell>
          <cell r="AF418">
            <v>-762592.84817915352</v>
          </cell>
          <cell r="AG418">
            <v>-786143.20870515984</v>
          </cell>
          <cell r="AH418">
            <v>-817113.50192224258</v>
          </cell>
          <cell r="AI418">
            <v>-832385.92211052449</v>
          </cell>
        </row>
        <row r="419">
          <cell r="C419" t="str">
            <v>Check</v>
          </cell>
          <cell r="H419">
            <v>1.4649999967077747</v>
          </cell>
          <cell r="I419">
            <v>3.0061576965963468</v>
          </cell>
          <cell r="J419">
            <v>0.41277449077460915</v>
          </cell>
          <cell r="K419">
            <v>1.2124976171180606</v>
          </cell>
          <cell r="L419">
            <v>-0.23412133497186005</v>
          </cell>
          <cell r="M419">
            <v>-1.545909034088254</v>
          </cell>
          <cell r="N419">
            <v>-0.24322582816239446</v>
          </cell>
          <cell r="O419">
            <v>2.3751044238451868E-2</v>
          </cell>
          <cell r="P419">
            <v>0.22936999739613384</v>
          </cell>
          <cell r="Q419">
            <v>1.999660162255168E-5</v>
          </cell>
          <cell r="R419">
            <v>1.9995844922959805E-5</v>
          </cell>
          <cell r="S419">
            <v>2.0001083612442017E-5</v>
          </cell>
          <cell r="T419">
            <v>2.1000334527343512E-4</v>
          </cell>
          <cell r="U419">
            <v>1.9000447355210781E-4</v>
          </cell>
          <cell r="V419">
            <v>3.3321900086011738</v>
          </cell>
          <cell r="W419">
            <v>2.3000617511570454E-4</v>
          </cell>
          <cell r="X419">
            <v>3.9999955333769321E-5</v>
          </cell>
          <cell r="Y419">
            <v>3.9998907595872879E-5</v>
          </cell>
          <cell r="Z419">
            <v>-3.0319600062211975</v>
          </cell>
          <cell r="AA419">
            <v>0.29999999853316694</v>
          </cell>
          <cell r="AB419">
            <v>-1.5133991837501526E-9</v>
          </cell>
          <cell r="AC419">
            <v>-1.6298145055770874E-9</v>
          </cell>
          <cell r="AD419">
            <v>-0.30000000109430403</v>
          </cell>
          <cell r="AE419">
            <v>-0.30000000714790076</v>
          </cell>
          <cell r="AF419">
            <v>3.3332651946693659E-4</v>
          </cell>
          <cell r="AG419">
            <v>3.3332628663629293E-4</v>
          </cell>
          <cell r="AH419">
            <v>0</v>
          </cell>
          <cell r="AI419">
            <v>3.3332023303955793E-4</v>
          </cell>
        </row>
        <row r="421">
          <cell r="C421" t="str">
            <v xml:space="preserve">Resultat före kreditförluster </v>
          </cell>
          <cell r="E421">
            <v>0</v>
          </cell>
          <cell r="F421">
            <v>0</v>
          </cell>
          <cell r="G421">
            <v>0</v>
          </cell>
          <cell r="H421">
            <v>295328.82307476277</v>
          </cell>
          <cell r="I421">
            <v>334312.00824100751</v>
          </cell>
          <cell r="J421">
            <v>388526.91048256855</v>
          </cell>
          <cell r="K421">
            <v>425716.45524958428</v>
          </cell>
          <cell r="L421">
            <v>484842.5709510328</v>
          </cell>
          <cell r="M421">
            <v>484466.76419110066</v>
          </cell>
          <cell r="N421">
            <v>474661.28481958149</v>
          </cell>
          <cell r="O421">
            <v>488639.92050074285</v>
          </cell>
          <cell r="P421">
            <v>465380.70134884916</v>
          </cell>
          <cell r="Q421">
            <v>471134.46271394065</v>
          </cell>
          <cell r="R421">
            <v>462782.38943726465</v>
          </cell>
          <cell r="S421">
            <v>444130.19230925752</v>
          </cell>
          <cell r="T421">
            <v>440660.63318407326</v>
          </cell>
          <cell r="U421">
            <v>439425.06180374825</v>
          </cell>
          <cell r="V421">
            <v>426997.31008005398</v>
          </cell>
          <cell r="W421">
            <v>455834.52620367683</v>
          </cell>
          <cell r="X421">
            <v>419683.11813958385</v>
          </cell>
          <cell r="Y421">
            <v>403938.42056979018</v>
          </cell>
          <cell r="Z421">
            <v>431624.34198181168</v>
          </cell>
          <cell r="AA421">
            <v>463711.26108573191</v>
          </cell>
          <cell r="AB421">
            <v>527927.84169353056</v>
          </cell>
          <cell r="AC421">
            <v>787281.97061758034</v>
          </cell>
          <cell r="AD421">
            <v>1009236.4216983065</v>
          </cell>
          <cell r="AE421">
            <v>1242828.029811668</v>
          </cell>
          <cell r="AF421">
            <v>1586188.3923981087</v>
          </cell>
          <cell r="AG421">
            <v>1977730.1471784301</v>
          </cell>
          <cell r="AH421">
            <v>2174682.7573818117</v>
          </cell>
          <cell r="AI421">
            <v>2350944.0782331605</v>
          </cell>
        </row>
        <row r="423">
          <cell r="C423" t="str">
            <v>Kreditförluster, netto</v>
          </cell>
          <cell r="H423">
            <v>390.80300000000005</v>
          </cell>
          <cell r="I423">
            <v>403.83000000000004</v>
          </cell>
          <cell r="J423">
            <v>290.10600000000011</v>
          </cell>
          <cell r="K423">
            <v>153.45100000000008</v>
          </cell>
          <cell r="L423">
            <v>-215.66199999999995</v>
          </cell>
          <cell r="M423">
            <v>-245.77899999999997</v>
          </cell>
          <cell r="N423">
            <v>-251.40499999999997</v>
          </cell>
          <cell r="O423">
            <v>-375.404</v>
          </cell>
          <cell r="P423">
            <v>-504.995</v>
          </cell>
          <cell r="Q423">
            <v>-159.24</v>
          </cell>
          <cell r="R423">
            <v>130.96199999999999</v>
          </cell>
          <cell r="S423">
            <v>383.04399999999998</v>
          </cell>
          <cell r="T423">
            <v>390.65300000000002</v>
          </cell>
          <cell r="U423">
            <v>527.78880999999956</v>
          </cell>
          <cell r="V423">
            <v>-241.86719000000039</v>
          </cell>
          <cell r="W423">
            <v>-761.54519000000039</v>
          </cell>
          <cell r="X423">
            <v>-1160.9762900000001</v>
          </cell>
          <cell r="Y423">
            <v>-2694.1930999999995</v>
          </cell>
          <cell r="Z423">
            <v>-341.26550000000179</v>
          </cell>
          <cell r="AA423">
            <v>-358.1105400000007</v>
          </cell>
          <cell r="AB423">
            <v>329.80079999999907</v>
          </cell>
          <cell r="AC423">
            <v>2033.8076299999993</v>
          </cell>
          <cell r="AD423">
            <v>-4585.4757499999987</v>
          </cell>
          <cell r="AE423">
            <v>-4541.9051800000007</v>
          </cell>
          <cell r="AF423">
            <v>-3871.4396300000017</v>
          </cell>
          <cell r="AG423">
            <v>-2959.0306999999998</v>
          </cell>
          <cell r="AH423">
            <v>1149.0938799999988</v>
          </cell>
          <cell r="AI423">
            <v>1037.4853799999987</v>
          </cell>
        </row>
        <row r="424">
          <cell r="C424" t="str">
            <v>Andelar i ägarintressens resultat</v>
          </cell>
          <cell r="H424">
            <v>0</v>
          </cell>
          <cell r="I424">
            <v>0</v>
          </cell>
          <cell r="J424">
            <v>0</v>
          </cell>
          <cell r="K424">
            <v>0</v>
          </cell>
          <cell r="L424">
            <v>0</v>
          </cell>
          <cell r="M424">
            <v>0</v>
          </cell>
          <cell r="N424">
            <v>0</v>
          </cell>
          <cell r="O424">
            <v>0</v>
          </cell>
          <cell r="P424">
            <v>0</v>
          </cell>
          <cell r="Q424">
            <v>0</v>
          </cell>
          <cell r="R424">
            <v>0</v>
          </cell>
          <cell r="S424">
            <v>0</v>
          </cell>
          <cell r="T424">
            <v>0</v>
          </cell>
          <cell r="U424">
            <v>0</v>
          </cell>
          <cell r="V424">
            <v>0</v>
          </cell>
          <cell r="W424">
            <v>0</v>
          </cell>
          <cell r="X424">
            <v>-655.20000000000005</v>
          </cell>
          <cell r="Y424">
            <v>-2920.4459999999999</v>
          </cell>
          <cell r="Z424">
            <v>-5415.0389999999998</v>
          </cell>
          <cell r="AA424">
            <v>-7055.811999999999</v>
          </cell>
          <cell r="AB424">
            <v>-8241.9470000000001</v>
          </cell>
          <cell r="AC424">
            <v>-8369.7980000000007</v>
          </cell>
          <cell r="AD424">
            <v>-7970.4419999999991</v>
          </cell>
          <cell r="AE424">
            <v>-7669.5860000000002</v>
          </cell>
          <cell r="AF424">
            <v>-5828.2510000000002</v>
          </cell>
          <cell r="AG424">
            <v>-3435.154</v>
          </cell>
          <cell r="AH424">
            <v>-1339.9170000000004</v>
          </cell>
          <cell r="AI424">
            <v>0</v>
          </cell>
        </row>
        <row r="425">
          <cell r="C425" t="str">
            <v>Rörelseresultat</v>
          </cell>
          <cell r="E425">
            <v>0</v>
          </cell>
          <cell r="F425">
            <v>0</v>
          </cell>
          <cell r="G425">
            <v>0</v>
          </cell>
          <cell r="H425">
            <v>295719.62607476278</v>
          </cell>
          <cell r="I425">
            <v>334715.83824100753</v>
          </cell>
          <cell r="J425">
            <v>388817.01648256858</v>
          </cell>
          <cell r="K425">
            <v>425869.90624958428</v>
          </cell>
          <cell r="L425">
            <v>484626.90895103279</v>
          </cell>
          <cell r="M425">
            <v>484220.98519110068</v>
          </cell>
          <cell r="N425">
            <v>474409.87981958146</v>
          </cell>
          <cell r="O425">
            <v>488264.51650074287</v>
          </cell>
          <cell r="P425">
            <v>464875.70634884917</v>
          </cell>
          <cell r="Q425">
            <v>470975.22271394066</v>
          </cell>
          <cell r="R425">
            <v>462913.35143726465</v>
          </cell>
          <cell r="S425">
            <v>444513.23630925751</v>
          </cell>
          <cell r="T425">
            <v>441051.28618407325</v>
          </cell>
          <cell r="U425">
            <v>439952.85061374825</v>
          </cell>
          <cell r="V425">
            <v>426755.44289005396</v>
          </cell>
          <cell r="W425">
            <v>455072.98101367685</v>
          </cell>
          <cell r="X425">
            <v>417866.94184958382</v>
          </cell>
          <cell r="Y425">
            <v>398323.78146979021</v>
          </cell>
          <cell r="Z425">
            <v>425868.03748181171</v>
          </cell>
          <cell r="AA425">
            <v>456297.33854573191</v>
          </cell>
          <cell r="AB425">
            <v>520015.69549353054</v>
          </cell>
          <cell r="AC425">
            <v>780945.98024758045</v>
          </cell>
          <cell r="AD425">
            <v>996680.50394830643</v>
          </cell>
          <cell r="AE425">
            <v>1230616.5386316681</v>
          </cell>
          <cell r="AF425">
            <v>1576488.7017681089</v>
          </cell>
          <cell r="AG425">
            <v>1971335.96247843</v>
          </cell>
          <cell r="AH425">
            <v>2174491.9342618119</v>
          </cell>
          <cell r="AI425">
            <v>2351981.5636131605</v>
          </cell>
        </row>
        <row r="426">
          <cell r="C426" t="str">
            <v>Check</v>
          </cell>
          <cell r="H426">
            <v>-8.7170003564096987E-2</v>
          </cell>
          <cell r="I426">
            <v>0.44431425252696499</v>
          </cell>
          <cell r="J426">
            <v>0.81233604479348287</v>
          </cell>
          <cell r="K426">
            <v>-0.19493582885479555</v>
          </cell>
          <cell r="L426">
            <v>-0.67123977874871343</v>
          </cell>
          <cell r="M426">
            <v>-1.178024033550173</v>
          </cell>
          <cell r="N426">
            <v>-1.0088658272870816</v>
          </cell>
          <cell r="O426">
            <v>0.21074604248860851</v>
          </cell>
          <cell r="P426">
            <v>0.45636999455746263</v>
          </cell>
          <cell r="Q426">
            <v>8.349992276635021E-3</v>
          </cell>
          <cell r="R426">
            <v>-9.7670001443475485E-2</v>
          </cell>
          <cell r="S426">
            <v>-0.26366999628953636</v>
          </cell>
          <cell r="T426">
            <v>0.36964001157321036</v>
          </cell>
          <cell r="U426">
            <v>0.58829001861158758</v>
          </cell>
          <cell r="V426">
            <v>4.0450800234684721</v>
          </cell>
          <cell r="W426">
            <v>0.75812003016471863</v>
          </cell>
          <cell r="X426">
            <v>0.11881982686463743</v>
          </cell>
          <cell r="Y426">
            <v>0.11881982954218984</v>
          </cell>
          <cell r="Z426">
            <v>-3.0379201407777146</v>
          </cell>
          <cell r="AA426">
            <v>0.29303982632700354</v>
          </cell>
          <cell r="AB426">
            <v>-9.6997444052249193E-4</v>
          </cell>
          <cell r="AC426">
            <v>-9.6997548826038837E-4</v>
          </cell>
          <cell r="AD426">
            <v>-0.3081700048642233</v>
          </cell>
          <cell r="AE426">
            <v>-0.30716997128911316</v>
          </cell>
          <cell r="AF426">
            <v>3.6336365155875683E-4</v>
          </cell>
          <cell r="AG426">
            <v>3.6332150921225548E-4</v>
          </cell>
          <cell r="AH426">
            <v>0</v>
          </cell>
          <cell r="AI426">
            <v>7.5332745909690857E-3</v>
          </cell>
        </row>
        <row r="428">
          <cell r="A428" t="str">
            <v>JusResRör4Q</v>
          </cell>
        </row>
        <row r="430">
          <cell r="C430" t="str">
            <v>Nyckeltal 4Q</v>
          </cell>
        </row>
        <row r="431">
          <cell r="A431" t="str">
            <v>Rörelsemarg4Q</v>
          </cell>
          <cell r="C431" t="str">
            <v>Rörelsemarginal, %</v>
          </cell>
          <cell r="E431" t="e">
            <v>#DIV/0!</v>
          </cell>
          <cell r="F431" t="e">
            <v>#DIV/0!</v>
          </cell>
          <cell r="G431" t="e">
            <v>#DIV/0!</v>
          </cell>
          <cell r="H431">
            <v>0.43612030275191432</v>
          </cell>
          <cell r="I431">
            <v>0.45898053096895158</v>
          </cell>
          <cell r="J431">
            <v>0.48965314174692115</v>
          </cell>
          <cell r="K431">
            <v>0.51089036437248103</v>
          </cell>
          <cell r="L431">
            <v>0.54097395115092339</v>
          </cell>
          <cell r="M431">
            <v>0.53768763766367367</v>
          </cell>
          <cell r="N431">
            <v>0.52937170625627261</v>
          </cell>
          <cell r="O431">
            <v>0.53443634227546244</v>
          </cell>
          <cell r="P431">
            <v>0.51162484615143922</v>
          </cell>
          <cell r="Q431">
            <v>0.50694984391806097</v>
          </cell>
          <cell r="R431">
            <v>0.49146051023238818</v>
          </cell>
          <cell r="S431">
            <v>0.46796151332666835</v>
          </cell>
          <cell r="T431">
            <v>0.45213022763178001</v>
          </cell>
          <cell r="U431">
            <v>0.43893405292867532</v>
          </cell>
          <cell r="V431">
            <v>0.42150944554945907</v>
          </cell>
          <cell r="W431">
            <v>0.4322205097816319</v>
          </cell>
          <cell r="X431">
            <v>0.39834917248080737</v>
          </cell>
          <cell r="Y431">
            <v>0.38104820987523397</v>
          </cell>
          <cell r="Z431">
            <v>0.39223033979915084</v>
          </cell>
          <cell r="AA431">
            <v>0.40319924712229849</v>
          </cell>
          <cell r="AB431">
            <v>0.43572476634703378</v>
          </cell>
          <cell r="AC431">
            <v>0.53217800830992212</v>
          </cell>
          <cell r="AD431">
            <v>0.58319574727150392</v>
          </cell>
          <cell r="AE431">
            <v>0.62424451113801971</v>
          </cell>
          <cell r="AF431">
            <v>0.67119435172424002</v>
          </cell>
          <cell r="AG431">
            <v>0.71325119098669265</v>
          </cell>
          <cell r="AH431" t="e">
            <v>#DIV/0!</v>
          </cell>
          <cell r="AI431">
            <v>0.73884315027749836</v>
          </cell>
        </row>
        <row r="432">
          <cell r="A432" t="str">
            <v>Vinstmarg4Q</v>
          </cell>
          <cell r="C432" t="str">
            <v>Vinstmarginal, %</v>
          </cell>
          <cell r="E432" t="e">
            <v>#DIV/0!</v>
          </cell>
          <cell r="F432" t="e">
            <v>#DIV/0!</v>
          </cell>
          <cell r="G432" t="e">
            <v>#DIV/0!</v>
          </cell>
          <cell r="H432">
            <v>0.36804433348850407</v>
          </cell>
          <cell r="I432">
            <v>0.3886766470965371</v>
          </cell>
          <cell r="J432">
            <v>0.41808656940986305</v>
          </cell>
          <cell r="K432">
            <v>0.43773348634373921</v>
          </cell>
          <cell r="L432">
            <v>0.46322459765004509</v>
          </cell>
          <cell r="M432">
            <v>0.45987671017086285</v>
          </cell>
          <cell r="N432">
            <v>0.45112380166605026</v>
          </cell>
          <cell r="O432">
            <v>0.45549763746280791</v>
          </cell>
          <cell r="P432">
            <v>0.43903363318347277</v>
          </cell>
          <cell r="Q432">
            <v>0.43474322869874149</v>
          </cell>
          <cell r="R432">
            <v>0.42286576005619192</v>
          </cell>
          <cell r="S432">
            <v>0.4017002274062868</v>
          </cell>
          <cell r="T432">
            <v>0.38805030271089258</v>
          </cell>
          <cell r="U432">
            <v>0.37808072844620544</v>
          </cell>
          <cell r="V432">
            <v>0.36508616185301368</v>
          </cell>
          <cell r="W432">
            <v>0.3677898525004285</v>
          </cell>
          <cell r="X432">
            <v>0.33276577298962046</v>
          </cell>
          <cell r="Y432">
            <v>0.3180321966898047</v>
          </cell>
          <cell r="Z432">
            <v>0.32634207778677027</v>
          </cell>
          <cell r="AA432">
            <v>0.34086137837553371</v>
          </cell>
          <cell r="AB432">
            <v>0.37448811289082828</v>
          </cell>
          <cell r="AC432">
            <v>0.45293551865332632</v>
          </cell>
          <cell r="AD432">
            <v>0.49402206707923374</v>
          </cell>
          <cell r="AE432">
            <v>0.52636165358230158</v>
          </cell>
          <cell r="AF432">
            <v>0.56821137795974486</v>
          </cell>
          <cell r="AG432">
            <v>0.6011683679886024</v>
          </cell>
          <cell r="AH432" t="e">
            <v>#DIV/0!</v>
          </cell>
          <cell r="AI432">
            <v>0.62242818659424604</v>
          </cell>
        </row>
        <row r="433">
          <cell r="A433" t="str">
            <v>KItal4Q</v>
          </cell>
          <cell r="C433" t="str">
            <v>K/I-tal, %</v>
          </cell>
          <cell r="E433" t="e">
            <v>#DIV/0!</v>
          </cell>
          <cell r="F433" t="e">
            <v>#DIV/0!</v>
          </cell>
          <cell r="G433" t="e">
            <v>#DIV/0!</v>
          </cell>
          <cell r="H433">
            <v>0.56445604442929531</v>
          </cell>
          <cell r="I433">
            <v>0.54157319997809938</v>
          </cell>
          <cell r="J433">
            <v>0.51071220737477452</v>
          </cell>
          <cell r="K433">
            <v>0.48929364001824399</v>
          </cell>
          <cell r="L433">
            <v>0.45878493443067353</v>
          </cell>
          <cell r="M433">
            <v>0.46203908672190891</v>
          </cell>
          <cell r="N433">
            <v>0.47034737825955786</v>
          </cell>
          <cell r="O433">
            <v>0.46515245898900714</v>
          </cell>
          <cell r="P433">
            <v>0.48781937575129036</v>
          </cell>
          <cell r="Q433">
            <v>0.49287875281522553</v>
          </cell>
          <cell r="R433">
            <v>0.50867852802330504</v>
          </cell>
          <cell r="S433">
            <v>0.53244173665914518</v>
          </cell>
          <cell r="T433">
            <v>0.54827023799958696</v>
          </cell>
          <cell r="U433">
            <v>0.56159251297802826</v>
          </cell>
          <cell r="V433">
            <v>0.57825166273746287</v>
          </cell>
          <cell r="W433">
            <v>0.56705618886753617</v>
          </cell>
          <cell r="X433">
            <v>0.59991948185858512</v>
          </cell>
          <cell r="Y433">
            <v>0.61358066331918171</v>
          </cell>
          <cell r="Z433">
            <v>0.60246798649592803</v>
          </cell>
          <cell r="AA433">
            <v>0.59024957272810541</v>
          </cell>
          <cell r="AB433">
            <v>0.55764559133523339</v>
          </cell>
          <cell r="AC433">
            <v>0.46350431181816604</v>
          </cell>
          <cell r="AD433">
            <v>0.40945730446373935</v>
          </cell>
          <cell r="AE433">
            <v>0.36956106679355782</v>
          </cell>
          <cell r="AF433">
            <v>0.32467597861461611</v>
          </cell>
          <cell r="AG433">
            <v>0.28443532215027184</v>
          </cell>
          <cell r="AH433" t="e">
            <v>#DIV/0!</v>
          </cell>
          <cell r="AI433">
            <v>0.26148276170069473</v>
          </cell>
        </row>
        <row r="434">
          <cell r="A434" t="str">
            <v>AvkastEK4Q</v>
          </cell>
          <cell r="C434" t="str">
            <v>Avkastning på eget kapital, % (årsbasis)</v>
          </cell>
          <cell r="H434">
            <v>0.32016157587961291</v>
          </cell>
          <cell r="I434">
            <v>0.37146115318970879</v>
          </cell>
          <cell r="J434">
            <v>0.42946123221749694</v>
          </cell>
          <cell r="K434">
            <v>0.43550576438782607</v>
          </cell>
          <cell r="L434">
            <v>0.4541677712393315</v>
          </cell>
          <cell r="M434">
            <v>0.4159912429355852</v>
          </cell>
          <cell r="N434">
            <v>0.37717024497690366</v>
          </cell>
          <cell r="O434">
            <v>0.3677993435139027</v>
          </cell>
          <cell r="P434">
            <v>0.33480449477008317</v>
          </cell>
          <cell r="Q434">
            <v>0.34059036116532154</v>
          </cell>
          <cell r="R434">
            <v>0.33803512429893001</v>
          </cell>
          <cell r="S434">
            <v>0.31138125723336224</v>
          </cell>
          <cell r="T434">
            <v>0.2981845643597652</v>
          </cell>
          <cell r="U434">
            <v>0.3013237815794455</v>
          </cell>
          <cell r="V434">
            <v>0.28371549440802424</v>
          </cell>
          <cell r="W434">
            <v>0.28198953998356002</v>
          </cell>
          <cell r="X434">
            <v>0.24405359321823544</v>
          </cell>
          <cell r="Y434">
            <v>0.23279370208670058</v>
          </cell>
          <cell r="Z434">
            <v>0.23873301957238222</v>
          </cell>
          <cell r="AA434">
            <v>0.24301649883093324</v>
          </cell>
          <cell r="AB434">
            <v>0.26782113533933927</v>
          </cell>
          <cell r="AC434">
            <v>0.38791607987293908</v>
          </cell>
          <cell r="AD434">
            <v>0.45274863440429647</v>
          </cell>
          <cell r="AE434">
            <v>0.49836931918519495</v>
          </cell>
          <cell r="AF434">
            <v>0.56823781700884168</v>
          </cell>
          <cell r="AG434">
            <v>0.61685487394179372</v>
          </cell>
          <cell r="AH434">
            <v>0</v>
          </cell>
          <cell r="AI434">
            <v>0.54284926153898949</v>
          </cell>
        </row>
        <row r="435">
          <cell r="A435" t="str">
            <v>AvkastTillg4Q</v>
          </cell>
          <cell r="C435" t="str">
            <v>Avkastning på tillgångar, % (årsbasis)</v>
          </cell>
          <cell r="H435">
            <v>3.9675897944400247E-3</v>
          </cell>
          <cell r="I435">
            <v>4.190345530167075E-3</v>
          </cell>
          <cell r="J435">
            <v>4.5621980576705636E-3</v>
          </cell>
          <cell r="K435">
            <v>4.7270562531178967E-3</v>
          </cell>
          <cell r="L435">
            <v>5.0686643112194014E-3</v>
          </cell>
          <cell r="M435">
            <v>4.7889601138889973E-3</v>
          </cell>
          <cell r="N435">
            <v>4.5313829898698385E-3</v>
          </cell>
          <cell r="O435">
            <v>4.5224192153710142E-3</v>
          </cell>
          <cell r="P435">
            <v>4.2062858866489701E-3</v>
          </cell>
          <cell r="Q435">
            <v>4.0988248970729177E-3</v>
          </cell>
          <cell r="R435">
            <v>3.8658545177533568E-3</v>
          </cell>
          <cell r="S435">
            <v>3.5429145864064554E-3</v>
          </cell>
          <cell r="T435">
            <v>3.4159792619387931E-3</v>
          </cell>
          <cell r="U435">
            <v>3.3044738148368304E-3</v>
          </cell>
          <cell r="V435">
            <v>3.1209900135114386E-3</v>
          </cell>
          <cell r="W435">
            <v>3.1569277116987112E-3</v>
          </cell>
          <cell r="X435">
            <v>2.8240315227038683E-3</v>
          </cell>
          <cell r="Y435">
            <v>2.6048863708334393E-3</v>
          </cell>
          <cell r="Z435">
            <v>2.6727198917793978E-3</v>
          </cell>
          <cell r="AA435">
            <v>2.8083931658348335E-3</v>
          </cell>
          <cell r="AB435">
            <v>3.1528205196803749E-3</v>
          </cell>
          <cell r="AC435">
            <v>4.4568928498146939E-3</v>
          </cell>
          <cell r="AD435">
            <v>5.388184879839256E-3</v>
          </cell>
          <cell r="AE435">
            <v>6.247435207810053E-3</v>
          </cell>
          <cell r="AF435">
            <v>7.5365428542544096E-3</v>
          </cell>
          <cell r="AG435">
            <v>8.6224655022158186E-3</v>
          </cell>
          <cell r="AH435">
            <v>0</v>
          </cell>
          <cell r="AI435">
            <v>8.6447285395478864E-3</v>
          </cell>
        </row>
        <row r="436">
          <cell r="A436" t="str">
            <v>Kreditförlnivå4Q</v>
          </cell>
          <cell r="C436" t="str">
            <v>Kreditförlustnivå, %</v>
          </cell>
          <cell r="H436">
            <v>2.9417224010758198E-5</v>
          </cell>
          <cell r="I436">
            <v>2.8306527538915329E-5</v>
          </cell>
          <cell r="J436">
            <v>1.9778446116639391E-5</v>
          </cell>
          <cell r="K436">
            <v>1.0548562143996813E-5</v>
          </cell>
          <cell r="L436">
            <v>-2.1820264147409164E-5</v>
          </cell>
          <cell r="M436">
            <v>-2.1955288378366528E-5</v>
          </cell>
          <cell r="N436">
            <v>-1.7808062979742199E-5</v>
          </cell>
          <cell r="O436">
            <v>-3.011286995770699E-5</v>
          </cell>
          <cell r="P436">
            <v>-6.1273876063275466E-5</v>
          </cell>
          <cell r="Q436">
            <v>-1.603911248091623E-5</v>
          </cell>
          <cell r="R436">
            <v>1.1251175204825137E-5</v>
          </cell>
          <cell r="S436">
            <v>3.7228396052722942E-5</v>
          </cell>
          <cell r="T436">
            <v>4.0037491994111958E-5</v>
          </cell>
          <cell r="U436">
            <v>4.6269028749926959E-5</v>
          </cell>
          <cell r="V436">
            <v>-2.1373823732491177E-5</v>
          </cell>
          <cell r="W436">
            <v>-6.6247190338691739E-5</v>
          </cell>
          <cell r="X436">
            <v>-1.0331291220226421E-4</v>
          </cell>
          <cell r="Y436">
            <v>-2.1482783589356724E-4</v>
          </cell>
          <cell r="Z436">
            <v>-2.7275429111438947E-5</v>
          </cell>
          <cell r="AA436">
            <v>-2.752837241815822E-5</v>
          </cell>
          <cell r="AB436">
            <v>2.9309724436566077E-5</v>
          </cell>
          <cell r="AC436">
            <v>1.4363324742026535E-4</v>
          </cell>
          <cell r="AD436">
            <v>-3.2112565087926326E-4</v>
          </cell>
          <cell r="AE436">
            <v>-2.9669196739718002E-4</v>
          </cell>
          <cell r="AF436">
            <v>-2.6031471986848512E-4</v>
          </cell>
          <cell r="AG436">
            <v>-1.90862406729784E-4</v>
          </cell>
          <cell r="AH436">
            <v>6.7811381075540323E-5</v>
          </cell>
          <cell r="AI436">
            <v>6.0701126335557935E-5</v>
          </cell>
        </row>
        <row r="438">
          <cell r="A438" t="str">
            <v>Invest4Q</v>
          </cell>
          <cell r="C438" t="str">
            <v>Investeringar, kSEK</v>
          </cell>
          <cell r="E438">
            <v>5233</v>
          </cell>
          <cell r="F438">
            <v>6232.058</v>
          </cell>
          <cell r="G438">
            <v>8343</v>
          </cell>
          <cell r="H438">
            <v>11960</v>
          </cell>
          <cell r="I438">
            <v>15684</v>
          </cell>
          <cell r="J438">
            <v>20021</v>
          </cell>
          <cell r="K438">
            <v>23775</v>
          </cell>
          <cell r="L438">
            <v>27941</v>
          </cell>
          <cell r="M438">
            <v>28601.267</v>
          </cell>
          <cell r="N438">
            <v>26933</v>
          </cell>
          <cell r="O438">
            <v>29188</v>
          </cell>
          <cell r="P438">
            <v>35678</v>
          </cell>
          <cell r="Q438">
            <v>36328.733</v>
          </cell>
          <cell r="R438">
            <v>49555</v>
          </cell>
          <cell r="S438">
            <v>49451.635999999999</v>
          </cell>
          <cell r="T438">
            <v>50251</v>
          </cell>
          <cell r="U438">
            <v>53964</v>
          </cell>
          <cell r="V438">
            <v>40474</v>
          </cell>
          <cell r="W438">
            <v>40582.364000000001</v>
          </cell>
          <cell r="X438">
            <v>71415</v>
          </cell>
          <cell r="Y438">
            <v>62445.616800000003</v>
          </cell>
          <cell r="Z438">
            <v>58880.630799999999</v>
          </cell>
          <cell r="AA438">
            <v>51421.775540000017</v>
          </cell>
          <cell r="AB438">
            <v>9605.0035400000124</v>
          </cell>
          <cell r="AC438">
            <v>14694.312290000003</v>
          </cell>
          <cell r="AD438">
            <v>38350.909339999969</v>
          </cell>
          <cell r="AE438">
            <v>49841.918949999985</v>
          </cell>
          <cell r="AF438">
            <v>62575.233070000002</v>
          </cell>
          <cell r="AG438">
            <v>74755.221770000018</v>
          </cell>
          <cell r="AH438">
            <v>81830.758720000042</v>
          </cell>
          <cell r="AI438">
            <v>101324.75512000005</v>
          </cell>
        </row>
        <row r="439">
          <cell r="A439" t="str">
            <v>SparkapPerKund4Q</v>
          </cell>
          <cell r="C439" t="str">
            <v>Sparkapital/Kund, SEK</v>
          </cell>
          <cell r="Y439">
            <v>385480.55989338137</v>
          </cell>
          <cell r="Z439">
            <v>398179.0801777087</v>
          </cell>
          <cell r="AA439">
            <v>401545.37883230473</v>
          </cell>
          <cell r="AB439">
            <v>417564.04861041717</v>
          </cell>
          <cell r="AC439">
            <v>346502.79716644529</v>
          </cell>
          <cell r="AD439">
            <v>398532.91142818163</v>
          </cell>
          <cell r="AE439">
            <v>430386.20033028704</v>
          </cell>
          <cell r="AF439">
            <v>445595.3880694941</v>
          </cell>
          <cell r="AG439">
            <v>456295.61625392869</v>
          </cell>
          <cell r="AH439">
            <v>469997.24856311816</v>
          </cell>
          <cell r="AI439">
            <v>462733.7096408786</v>
          </cell>
        </row>
        <row r="440">
          <cell r="A440" t="str">
            <v>Courtageprocent4Q</v>
          </cell>
          <cell r="C440" t="str">
            <v>Courtageintäkter/Rörelseintäkter, %</v>
          </cell>
          <cell r="E440" t="e">
            <v>#DIV/0!</v>
          </cell>
          <cell r="F440" t="e">
            <v>#DIV/0!</v>
          </cell>
          <cell r="G440" t="e">
            <v>#DIV/0!</v>
          </cell>
          <cell r="H440">
            <v>0.42144858950949482</v>
          </cell>
          <cell r="I440">
            <v>0.4409792338118132</v>
          </cell>
          <cell r="J440">
            <v>0.46430522173522992</v>
          </cell>
          <cell r="K440">
            <v>0.49739088389855241</v>
          </cell>
          <cell r="L440">
            <v>0.53509633769232601</v>
          </cell>
          <cell r="M440">
            <v>0.54551931973481427</v>
          </cell>
          <cell r="N440">
            <v>0.55015873699704343</v>
          </cell>
          <cell r="O440">
            <v>0.54014469926151987</v>
          </cell>
          <cell r="P440">
            <v>0.51659048044896705</v>
          </cell>
          <cell r="Q440">
            <v>0.50148306047093016</v>
          </cell>
          <cell r="R440">
            <v>0.48465332839958403</v>
          </cell>
          <cell r="S440">
            <v>0.47285467867738351</v>
          </cell>
          <cell r="T440">
            <v>0.46071206017279337</v>
          </cell>
          <cell r="U440">
            <v>0.448337198169035</v>
          </cell>
          <cell r="V440">
            <v>0.43530446382459964</v>
          </cell>
          <cell r="W440">
            <v>0.42364555762691269</v>
          </cell>
          <cell r="X440">
            <v>0.41492235686139173</v>
          </cell>
          <cell r="Y440">
            <v>0.40745480864920142</v>
          </cell>
          <cell r="Z440">
            <v>0.40448758887906117</v>
          </cell>
          <cell r="AA440">
            <v>0.40105948394618013</v>
          </cell>
          <cell r="AB440">
            <v>0.39036250450613491</v>
          </cell>
          <cell r="AC440">
            <v>0.42347056369319458</v>
          </cell>
          <cell r="AD440">
            <v>0.45444844905345888</v>
          </cell>
          <cell r="AE440">
            <v>0.47361218793326576</v>
          </cell>
          <cell r="AF440">
            <v>0.46919805395293002</v>
          </cell>
          <cell r="AG440">
            <v>0.46052931212172599</v>
          </cell>
          <cell r="AH440">
            <v>0.45006028728144554</v>
          </cell>
          <cell r="AI440">
            <v>0.43775585406250278</v>
          </cell>
        </row>
        <row r="441">
          <cell r="A441" t="str">
            <v>Valutaprocent4Q</v>
          </cell>
          <cell r="C441" t="str">
            <v>Fondprovisionsnetto/Rörelseintäkter, %</v>
          </cell>
          <cell r="Y441">
            <v>3.0198163204628956E-2</v>
          </cell>
          <cell r="Z441">
            <v>5.6076351317598236E-2</v>
          </cell>
          <cell r="AA441">
            <v>8.2880232788617933E-2</v>
          </cell>
          <cell r="AB441">
            <v>0.10443267879614659</v>
          </cell>
          <cell r="AC441">
            <v>0.11293360057646994</v>
          </cell>
          <cell r="AD441">
            <v>0.12694853175367354</v>
          </cell>
          <cell r="AE441">
            <v>0.13798571357590655</v>
          </cell>
          <cell r="AF441">
            <v>0.15122475157486512</v>
          </cell>
          <cell r="AG441">
            <v>0.1916958070752918</v>
          </cell>
          <cell r="AH441">
            <v>0.19318180390212936</v>
          </cell>
          <cell r="AI441">
            <v>0.18987613721629312</v>
          </cell>
        </row>
        <row r="442">
          <cell r="A442" t="str">
            <v>Fondprovprocent4Q</v>
          </cell>
          <cell r="C442" t="str">
            <v>Fondprovisioner/Rörelseintäkter, %</v>
          </cell>
          <cell r="E442" t="e">
            <v>#DIV/0!</v>
          </cell>
          <cell r="F442" t="e">
            <v>#DIV/0!</v>
          </cell>
          <cell r="G442" t="e">
            <v>#DIV/0!</v>
          </cell>
          <cell r="H442">
            <v>0.16788167641823556</v>
          </cell>
          <cell r="I442">
            <v>0.17689192764741052</v>
          </cell>
          <cell r="J442">
            <v>0.18353974611405083</v>
          </cell>
          <cell r="K442">
            <v>0.18303460629512047</v>
          </cell>
          <cell r="L442">
            <v>0.17823419831828247</v>
          </cell>
          <cell r="M442">
            <v>0.17427177391017007</v>
          </cell>
          <cell r="N442">
            <v>0.16891134261165774</v>
          </cell>
          <cell r="O442">
            <v>0.17299568124037806</v>
          </cell>
          <cell r="P442">
            <v>0.18436838732307831</v>
          </cell>
          <cell r="Q442">
            <v>0.1970220767483345</v>
          </cell>
          <cell r="R442">
            <v>0.21851085313481114</v>
          </cell>
          <cell r="S442">
            <v>0.23489150067024372</v>
          </cell>
          <cell r="T442">
            <v>0.24567406489892268</v>
          </cell>
          <cell r="U442">
            <v>0.25861469872644</v>
          </cell>
          <cell r="V442">
            <v>0.26929013665600526</v>
          </cell>
          <cell r="W442">
            <v>0.27699850862222197</v>
          </cell>
          <cell r="X442">
            <v>0.28686226488914013</v>
          </cell>
          <cell r="Y442">
            <v>0.28751555475381602</v>
          </cell>
          <cell r="Z442">
            <v>0.28435444275738964</v>
          </cell>
          <cell r="AA442">
            <v>0.27771525224174082</v>
          </cell>
          <cell r="AB442">
            <v>0.27815414835453328</v>
          </cell>
          <cell r="AC442">
            <v>0.24298113312780392</v>
          </cell>
          <cell r="AD442">
            <v>0.21183573614408993</v>
          </cell>
          <cell r="AE442">
            <v>0.19513225583720128</v>
          </cell>
          <cell r="AF442">
            <v>0.1779545407035325</v>
          </cell>
          <cell r="AG442">
            <v>0.17074511433217657</v>
          </cell>
          <cell r="AH442">
            <v>0.18225390919060744</v>
          </cell>
          <cell r="AI442">
            <v>0.19150679698120587</v>
          </cell>
        </row>
        <row r="443">
          <cell r="A443" t="str">
            <v>Räntenettoprocent4Q</v>
          </cell>
          <cell r="C443" t="str">
            <v>Räntenetto/Rörelseintäkter, %</v>
          </cell>
          <cell r="E443" t="e">
            <v>#DIV/0!</v>
          </cell>
          <cell r="F443" t="e">
            <v>#DIV/0!</v>
          </cell>
          <cell r="G443" t="e">
            <v>#DIV/0!</v>
          </cell>
          <cell r="H443">
            <v>0.28243342345882078</v>
          </cell>
          <cell r="I443">
            <v>0.25443734584795458</v>
          </cell>
          <cell r="J443">
            <v>0.21341233949125191</v>
          </cell>
          <cell r="K443">
            <v>0.18336134007169128</v>
          </cell>
          <cell r="L443">
            <v>0.15484859977485638</v>
          </cell>
          <cell r="M443">
            <v>0.14093277235237456</v>
          </cell>
          <cell r="N443">
            <v>0.13133768235529045</v>
          </cell>
          <cell r="O443">
            <v>0.1249650820631866</v>
          </cell>
          <cell r="P443">
            <v>0.12575981325227928</v>
          </cell>
          <cell r="Q443">
            <v>0.12031854888981468</v>
          </cell>
          <cell r="R443">
            <v>0.11848974503787352</v>
          </cell>
          <cell r="S443">
            <v>0.1173610441273424</v>
          </cell>
          <cell r="T443">
            <v>0.11020917624500004</v>
          </cell>
          <cell r="U443">
            <v>0.10095949327500774</v>
          </cell>
          <cell r="V443">
            <v>9.5580650573307724E-2</v>
          </cell>
          <cell r="W443">
            <v>9.1242613954545332E-2</v>
          </cell>
          <cell r="X443">
            <v>8.6328131086468446E-2</v>
          </cell>
          <cell r="Y443">
            <v>9.3903632615193203E-2</v>
          </cell>
          <cell r="Z443">
            <v>0.10847968917534105</v>
          </cell>
          <cell r="AA443">
            <v>0.12197252169449109</v>
          </cell>
          <cell r="AB443">
            <v>0.13853397320176247</v>
          </cell>
          <cell r="AC443">
            <v>0.13542487341668666</v>
          </cell>
          <cell r="AD443">
            <v>0.13468140166916526</v>
          </cell>
          <cell r="AE443">
            <v>0.13139488053516366</v>
          </cell>
          <cell r="AF443">
            <v>0.12062262119837483</v>
          </cell>
          <cell r="AG443">
            <v>0.10710856459461758</v>
          </cell>
          <cell r="AH443">
            <v>0.10114588316264293</v>
          </cell>
          <cell r="AI443">
            <v>9.796220419068459E-2</v>
          </cell>
        </row>
        <row r="444">
          <cell r="A444" t="str">
            <v>ÖvrIntprocent4Q</v>
          </cell>
          <cell r="C444" t="str">
            <v>Övriga intäkter/Rörelseintäkter, %</v>
          </cell>
          <cell r="E444" t="e">
            <v>#DIV/0!</v>
          </cell>
          <cell r="F444" t="e">
            <v>#DIV/0!</v>
          </cell>
          <cell r="G444" t="e">
            <v>#DIV/0!</v>
          </cell>
          <cell r="H444">
            <v>0.12823631061344873</v>
          </cell>
          <cell r="I444">
            <v>0.12769149269282168</v>
          </cell>
          <cell r="J444">
            <v>0.13874269265946731</v>
          </cell>
          <cell r="K444">
            <v>0.13621316973463593</v>
          </cell>
          <cell r="L444">
            <v>0.1318208642145352</v>
          </cell>
          <cell r="M444">
            <v>0.13927613400264099</v>
          </cell>
          <cell r="N444">
            <v>0.14959223803600827</v>
          </cell>
          <cell r="O444">
            <v>0.16189453743491544</v>
          </cell>
          <cell r="P444">
            <v>0.17328131897567542</v>
          </cell>
          <cell r="Q444">
            <v>0.18117631389092062</v>
          </cell>
          <cell r="R444">
            <v>0.17834607342773134</v>
          </cell>
          <cell r="S444">
            <v>0.17489277652503041</v>
          </cell>
          <cell r="T444">
            <v>0.18340469868328388</v>
          </cell>
          <cell r="U444">
            <v>0.19208860982951728</v>
          </cell>
          <cell r="V444">
            <v>0.1998247489460874</v>
          </cell>
          <cell r="W444">
            <v>0.20811331979631995</v>
          </cell>
          <cell r="X444">
            <v>0.21188724716299984</v>
          </cell>
          <cell r="Y444">
            <v>0.18092784077716037</v>
          </cell>
          <cell r="Z444">
            <v>0.14660192787060988</v>
          </cell>
          <cell r="AA444">
            <v>0.11637250932897003</v>
          </cell>
          <cell r="AB444">
            <v>8.8516695141422824E-2</v>
          </cell>
          <cell r="AC444">
            <v>8.5189829185844917E-2</v>
          </cell>
          <cell r="AD444">
            <v>7.2085881379612485E-2</v>
          </cell>
          <cell r="AE444">
            <v>6.1874962118462801E-2</v>
          </cell>
          <cell r="AF444">
            <v>8.1000032570297656E-2</v>
          </cell>
          <cell r="AG444">
            <v>6.9921201876188221E-2</v>
          </cell>
          <cell r="AH444">
            <v>7.3358116463174833E-2</v>
          </cell>
          <cell r="AI444">
            <v>8.2899007549313758E-2</v>
          </cell>
        </row>
        <row r="446">
          <cell r="A446" t="str">
            <v>IntPerSparkr4Q</v>
          </cell>
          <cell r="C446" t="str">
            <v>Rörelseintäkter/Sparkapital, %</v>
          </cell>
          <cell r="H446" t="e">
            <v>#DIV/0!</v>
          </cell>
          <cell r="I446">
            <v>4.1900833233011209E-3</v>
          </cell>
          <cell r="J446">
            <v>4.5396756319273524E-3</v>
          </cell>
          <cell r="K446">
            <v>4.7502590219501732E-3</v>
          </cell>
          <cell r="L446">
            <v>4.9450567331898376E-3</v>
          </cell>
          <cell r="M446">
            <v>4.8929488807387652E-3</v>
          </cell>
          <cell r="N446">
            <v>4.7064218108194304E-3</v>
          </cell>
          <cell r="O446">
            <v>4.5375638371168703E-3</v>
          </cell>
          <cell r="P446">
            <v>4.2489054831445052E-3</v>
          </cell>
          <cell r="Q446">
            <v>4.1249829401740681E-3</v>
          </cell>
          <cell r="R446">
            <v>3.9219200329935434E-3</v>
          </cell>
          <cell r="S446">
            <v>3.7222905462247035E-3</v>
          </cell>
          <cell r="T446">
            <v>3.6715485051618366E-3</v>
          </cell>
          <cell r="U446">
            <v>3.63679312689664E-3</v>
          </cell>
          <cell r="V446">
            <v>3.5397495113433514E-3</v>
          </cell>
          <cell r="W446">
            <v>3.5313402598007308E-3</v>
          </cell>
          <cell r="X446">
            <v>3.474057785932242E-3</v>
          </cell>
          <cell r="Y446">
            <v>3.3450919988425279E-3</v>
          </cell>
          <cell r="Z446">
            <v>3.3242891180226249E-3</v>
          </cell>
          <cell r="AA446">
            <v>3.3226436867970391E-3</v>
          </cell>
          <cell r="AB446">
            <v>3.3528843421642904E-3</v>
          </cell>
          <cell r="AC446">
            <v>3.9705485824521299E-3</v>
          </cell>
          <cell r="AD446">
            <v>4.3667419606084673E-3</v>
          </cell>
          <cell r="AE446">
            <v>4.6676411661316815E-3</v>
          </cell>
          <cell r="AF446">
            <v>5.0946060651879954E-3</v>
          </cell>
          <cell r="AG446">
            <v>5.4164057118938798E-3</v>
          </cell>
          <cell r="AH446">
            <v>5.1639698722887057E-3</v>
          </cell>
          <cell r="AI446">
            <v>4.993922804867248E-3</v>
          </cell>
        </row>
        <row r="447">
          <cell r="A447" t="str">
            <v>KostnPerSparkr4Q</v>
          </cell>
          <cell r="C447" t="str">
            <v>Rörelsekostnader/Sparkapital, %</v>
          </cell>
          <cell r="H447" t="e">
            <v>#DIV/0!</v>
          </cell>
          <cell r="I447">
            <v>2.2692461840163923E-3</v>
          </cell>
          <cell r="J447">
            <v>2.3184712716706342E-3</v>
          </cell>
          <cell r="K447">
            <v>2.3242747026866891E-3</v>
          </cell>
          <cell r="L447">
            <v>2.2687159857203163E-3</v>
          </cell>
          <cell r="M447">
            <v>2.2607269648106053E-3</v>
          </cell>
          <cell r="N447">
            <v>2.2136508408578033E-3</v>
          </cell>
          <cell r="O447">
            <v>2.110660150390188E-3</v>
          </cell>
          <cell r="P447">
            <v>2.0727000108070885E-3</v>
          </cell>
          <cell r="Q447">
            <v>2.0331164652553292E-3</v>
          </cell>
          <cell r="R447">
            <v>1.9949963025816574E-3</v>
          </cell>
          <cell r="S447">
            <v>1.9819022926842378E-3</v>
          </cell>
          <cell r="T447">
            <v>2.0130015358854167E-3</v>
          </cell>
          <cell r="U447">
            <v>2.0423969903551453E-3</v>
          </cell>
          <cell r="V447">
            <v>2.0468791318699821E-3</v>
          </cell>
          <cell r="W447">
            <v>2.0024697915258533E-3</v>
          </cell>
          <cell r="X447">
            <v>1.9682425122343641E-3</v>
          </cell>
          <cell r="Y447">
            <v>2.0524840008616175E-3</v>
          </cell>
          <cell r="Z447">
            <v>2.0027684774042535E-3</v>
          </cell>
          <cell r="AA447">
            <v>1.9611898851963259E-3</v>
          </cell>
          <cell r="AB447">
            <v>1.869721170145236E-3</v>
          </cell>
          <cell r="AC447">
            <v>1.8403663870335981E-3</v>
          </cell>
          <cell r="AD447">
            <v>1.7879936173874147E-3</v>
          </cell>
          <cell r="AE447">
            <v>1.7249777321765945E-3</v>
          </cell>
          <cell r="AF447">
            <v>1.6540962106150236E-3</v>
          </cell>
          <cell r="AG447">
            <v>1.5406171042290527E-3</v>
          </cell>
          <cell r="AH447">
            <v>1.4103732809493928E-3</v>
          </cell>
          <cell r="AI447">
            <v>1.3058247302131442E-3</v>
          </cell>
        </row>
        <row r="450">
          <cell r="A450" t="str">
            <v>IntPerKund4Q</v>
          </cell>
          <cell r="C450" t="str">
            <v>Rörelseintäkter/Kund, årsbasis, SEK</v>
          </cell>
          <cell r="L450">
            <v>2123.5851594405531</v>
          </cell>
          <cell r="M450">
            <v>2017.5258768213662</v>
          </cell>
          <cell r="N450">
            <v>1910.2450194056869</v>
          </cell>
          <cell r="O450">
            <v>1854.249314433896</v>
          </cell>
          <cell r="P450">
            <v>1753.9263350467975</v>
          </cell>
          <cell r="Q450">
            <v>1700.5278337642148</v>
          </cell>
          <cell r="R450">
            <v>1638.2774407617774</v>
          </cell>
          <cell r="S450">
            <v>1569.5574859847356</v>
          </cell>
          <cell r="T450">
            <v>1526.456336200871</v>
          </cell>
          <cell r="U450">
            <v>1483.7302806428675</v>
          </cell>
          <cell r="V450">
            <v>1427.9759077326689</v>
          </cell>
          <cell r="W450">
            <v>1416.4125162577152</v>
          </cell>
          <cell r="X450">
            <v>1349.8180833579829</v>
          </cell>
          <cell r="Y450">
            <v>1291.86921741022</v>
          </cell>
          <cell r="Z450">
            <v>1294.0717294344313</v>
          </cell>
          <cell r="AA450">
            <v>1298.4595475636045</v>
          </cell>
          <cell r="AB450">
            <v>1318.5127138239814</v>
          </cell>
          <cell r="AC450">
            <v>1544.3224434332278</v>
          </cell>
          <cell r="AD450">
            <v>1710.4053804427531</v>
          </cell>
          <cell r="AE450">
            <v>1863.901939035956</v>
          </cell>
          <cell r="AF450">
            <v>2086.12477962401</v>
          </cell>
          <cell r="AG450">
            <v>2270.5806313913035</v>
          </cell>
          <cell r="AH450">
            <v>2286.6056919448483</v>
          </cell>
          <cell r="AI450">
            <v>2269.0046327257087</v>
          </cell>
        </row>
        <row r="451">
          <cell r="A451" t="str">
            <v>KostnPerKund4Q</v>
          </cell>
          <cell r="C451" t="str">
            <v>Rörelsekostnader/Kund, årsbasis, SEK</v>
          </cell>
          <cell r="L451">
            <v>-974.2682153523956</v>
          </cell>
          <cell r="M451">
            <v>-932.17306436370643</v>
          </cell>
          <cell r="N451">
            <v>-898.47779553690054</v>
          </cell>
          <cell r="O451">
            <v>-862.50910782792982</v>
          </cell>
          <cell r="P451">
            <v>-855.59990638245381</v>
          </cell>
          <cell r="Q451">
            <v>-838.15404538499922</v>
          </cell>
          <cell r="R451">
            <v>-833.35647066419085</v>
          </cell>
          <cell r="S451">
            <v>-835.69768166750521</v>
          </cell>
          <cell r="T451">
            <v>-836.91089601959004</v>
          </cell>
          <cell r="U451">
            <v>-833.25230606935008</v>
          </cell>
          <cell r="V451">
            <v>-825.73472416183563</v>
          </cell>
          <cell r="W451">
            <v>-803.18606180001643</v>
          </cell>
          <cell r="X451">
            <v>-764.7452918619091</v>
          </cell>
          <cell r="Y451">
            <v>-792.66606145887295</v>
          </cell>
          <cell r="Z451">
            <v>-779.63317124261221</v>
          </cell>
          <cell r="AA451">
            <v>-766.41553264868355</v>
          </cell>
          <cell r="AB451">
            <v>-735.26280138581308</v>
          </cell>
          <cell r="AC451">
            <v>-715.80011089572724</v>
          </cell>
          <cell r="AD451">
            <v>-700.33767302123863</v>
          </cell>
          <cell r="AE451">
            <v>-688.82530283757796</v>
          </cell>
          <cell r="AF451">
            <v>-677.31460464133932</v>
          </cell>
          <cell r="AG451">
            <v>-645.8333336387966</v>
          </cell>
          <cell r="AH451">
            <v>-624.51324305586718</v>
          </cell>
          <cell r="AI451">
            <v>-593.30559925629166</v>
          </cell>
        </row>
        <row r="453">
          <cell r="C453" t="str">
            <v>Antal courtagegenererande affärer - 4Q</v>
          </cell>
          <cell r="H453">
            <v>0</v>
          </cell>
          <cell r="I453">
            <v>0</v>
          </cell>
          <cell r="J453">
            <v>0</v>
          </cell>
          <cell r="K453">
            <v>0</v>
          </cell>
          <cell r="L453">
            <v>0</v>
          </cell>
          <cell r="M453">
            <v>3105235</v>
          </cell>
          <cell r="N453">
            <v>6011883</v>
          </cell>
          <cell r="O453">
            <v>9112155</v>
          </cell>
          <cell r="P453">
            <v>12619121</v>
          </cell>
          <cell r="Q453">
            <v>13099516</v>
          </cell>
          <cell r="R453">
            <v>13338722</v>
          </cell>
          <cell r="S453">
            <v>13535448</v>
          </cell>
          <cell r="T453">
            <v>13918846</v>
          </cell>
          <cell r="U453">
            <v>14306782</v>
          </cell>
          <cell r="V453">
            <v>14467655</v>
          </cell>
          <cell r="W453">
            <v>15127240</v>
          </cell>
          <cell r="X453">
            <v>15041700</v>
          </cell>
          <cell r="Y453">
            <v>15060381</v>
          </cell>
          <cell r="Z453">
            <v>15824524</v>
          </cell>
          <cell r="AA453">
            <v>16632089</v>
          </cell>
          <cell r="AB453">
            <v>17504485</v>
          </cell>
          <cell r="AC453">
            <v>22682041</v>
          </cell>
          <cell r="AD453">
            <v>27814945</v>
          </cell>
          <cell r="AE453">
            <v>33874658</v>
          </cell>
          <cell r="AF453">
            <v>40769414</v>
          </cell>
          <cell r="AG453">
            <v>49313131</v>
          </cell>
          <cell r="AH453">
            <v>53776196</v>
          </cell>
          <cell r="AI453">
            <v>56298240</v>
          </cell>
        </row>
        <row r="454">
          <cell r="C454" t="str">
            <v>Courtagegenererande omsättning MSEK - 4Q</v>
          </cell>
          <cell r="H454">
            <v>466671.89092755259</v>
          </cell>
          <cell r="I454">
            <v>486970.22660220275</v>
          </cell>
          <cell r="J454">
            <v>523316.87086549692</v>
          </cell>
          <cell r="K454">
            <v>587949.96754735091</v>
          </cell>
          <cell r="L454">
            <v>678541.3294211399</v>
          </cell>
          <cell r="M454">
            <v>701643.13658470195</v>
          </cell>
          <cell r="N454">
            <v>707231.21821095853</v>
          </cell>
          <cell r="O454">
            <v>683811.661827681</v>
          </cell>
          <cell r="P454">
            <v>614984.35639795032</v>
          </cell>
          <cell r="Q454">
            <v>593878.91450372012</v>
          </cell>
          <cell r="R454">
            <v>572364.23901920021</v>
          </cell>
          <cell r="S454">
            <v>562080.07744307001</v>
          </cell>
          <cell r="T454">
            <v>548997.56215518003</v>
          </cell>
          <cell r="U454">
            <v>545317.71463349997</v>
          </cell>
          <cell r="V454">
            <v>536985.80041080993</v>
          </cell>
          <cell r="W454">
            <v>537541.89611832984</v>
          </cell>
          <cell r="X454">
            <v>532379.21423193975</v>
          </cell>
          <cell r="Y454">
            <v>531175.43932713976</v>
          </cell>
          <cell r="Z454">
            <v>536984.00525608973</v>
          </cell>
          <cell r="AA454">
            <v>543582.70661893988</v>
          </cell>
          <cell r="AB454">
            <v>557796.00469951984</v>
          </cell>
          <cell r="AC454">
            <v>697868.22604591982</v>
          </cell>
          <cell r="AD454">
            <v>849950.64546545013</v>
          </cell>
          <cell r="AE454">
            <v>997354.35738542001</v>
          </cell>
          <cell r="AF454">
            <v>1148781.70199184</v>
          </cell>
          <cell r="AG454">
            <v>1288765.0123661002</v>
          </cell>
          <cell r="AH454">
            <v>1348398.5891431598</v>
          </cell>
          <cell r="AI454">
            <v>1403778.6920403996</v>
          </cell>
        </row>
        <row r="455">
          <cell r="C455" t="str">
            <v>Courtagegenererande omsättning utland MSEK - 4Q</v>
          </cell>
          <cell r="AF455">
            <v>143739.07111352001</v>
          </cell>
          <cell r="AG455">
            <v>214110.89098547999</v>
          </cell>
        </row>
        <row r="457">
          <cell r="A457" t="str">
            <v>AntalCourtAffärer4Q</v>
          </cell>
          <cell r="C457" t="str">
            <v>Antal courtagegenererande affärer/handelsdag - 4Q</v>
          </cell>
          <cell r="AC457">
            <v>91459.842741935485</v>
          </cell>
          <cell r="AD457">
            <v>111706.6064257028</v>
          </cell>
          <cell r="AE457">
            <v>136042.8032128514</v>
          </cell>
          <cell r="AF457">
            <v>163077.65599999999</v>
          </cell>
          <cell r="AG457">
            <v>198443.18309859154</v>
          </cell>
          <cell r="AH457">
            <v>215535.85571142283</v>
          </cell>
          <cell r="AI457">
            <v>225644.248496994</v>
          </cell>
        </row>
        <row r="458">
          <cell r="A458" t="str">
            <v>CourtOmsättning4Q</v>
          </cell>
          <cell r="C458" t="str">
            <v>Courtagegenererande omsättning/handelsdag MSEK - 4Q</v>
          </cell>
          <cell r="AC458">
            <v>2813.984782443225</v>
          </cell>
          <cell r="AD458">
            <v>3413.4564074917675</v>
          </cell>
          <cell r="AE458">
            <v>4005.4391862868274</v>
          </cell>
          <cell r="AF458">
            <v>4595.12680796736</v>
          </cell>
          <cell r="AG458">
            <v>5186.177112137224</v>
          </cell>
          <cell r="AH458">
            <v>5404.4031628984358</v>
          </cell>
          <cell r="AI458">
            <v>5626.367503167934</v>
          </cell>
        </row>
        <row r="459">
          <cell r="A459" t="str">
            <v>CourtOmsättningUtland4Q</v>
          </cell>
          <cell r="C459" t="str">
            <v>Courtagegenererande omsättning utland/handelsdag MSEK - 4Q</v>
          </cell>
          <cell r="AF459">
            <v>574.95628445407999</v>
          </cell>
          <cell r="AG459">
            <v>861.61324340233398</v>
          </cell>
        </row>
        <row r="461">
          <cell r="A461" t="str">
            <v>CourtPerAffär4Q</v>
          </cell>
          <cell r="C461" t="str">
            <v>Courtage per affär, SEK</v>
          </cell>
          <cell r="H461">
            <v>68</v>
          </cell>
          <cell r="I461">
            <v>65.6523478458722</v>
          </cell>
          <cell r="J461">
            <v>62.218953355488779</v>
          </cell>
          <cell r="K461">
            <v>59.253196522057436</v>
          </cell>
          <cell r="L461">
            <v>55.838159212299601</v>
          </cell>
          <cell r="M461">
            <v>52.846421396828696</v>
          </cell>
          <cell r="N461">
            <v>49.44872494375447</v>
          </cell>
          <cell r="O461">
            <v>44.588795632014381</v>
          </cell>
          <cell r="P461">
            <v>40.899808771862311</v>
          </cell>
          <cell r="Q461">
            <v>37.829906769952679</v>
          </cell>
          <cell r="R461">
            <v>35.799541498435197</v>
          </cell>
          <cell r="S461">
            <v>34.595939234619848</v>
          </cell>
          <cell r="T461">
            <v>33.838351398552646</v>
          </cell>
          <cell r="U461">
            <v>33.263317533894295</v>
          </cell>
          <cell r="V461">
            <v>32.47399271403853</v>
          </cell>
          <cell r="W461">
            <v>31.522184047458321</v>
          </cell>
          <cell r="X461">
            <v>31.115695007683343</v>
          </cell>
          <cell r="Y461">
            <v>30.482042827074316</v>
          </cell>
          <cell r="Z461">
            <v>29.880075463830817</v>
          </cell>
          <cell r="AA461">
            <v>29.473141592572624</v>
          </cell>
          <cell r="AB461">
            <v>28.597486555914557</v>
          </cell>
          <cell r="AC461">
            <v>28.602916994702195</v>
          </cell>
          <cell r="AD461">
            <v>28.834584966407398</v>
          </cell>
          <cell r="AE461">
            <v>28.963487884310098</v>
          </cell>
          <cell r="AF461">
            <v>29.420211678753127</v>
          </cell>
          <cell r="AG461">
            <v>28.915678294523246</v>
          </cell>
          <cell r="AH461">
            <v>28.915678294523246</v>
          </cell>
          <cell r="AI461">
            <v>28.915678294523246</v>
          </cell>
        </row>
        <row r="462">
          <cell r="A462" t="str">
            <v>CourtPerDag4Q</v>
          </cell>
          <cell r="C462" t="str">
            <v>Courtage per handelsdag, MSEK</v>
          </cell>
          <cell r="H462">
            <v>1.156970700931174</v>
          </cell>
          <cell r="I462">
            <v>1.30462382856998</v>
          </cell>
          <cell r="J462">
            <v>1.4896552612323233</v>
          </cell>
          <cell r="K462">
            <v>1.6752219600707072</v>
          </cell>
          <cell r="L462">
            <v>1.9290176581891354</v>
          </cell>
          <cell r="M462">
            <v>1.9889567932186236</v>
          </cell>
          <cell r="N462">
            <v>1.9721515523199999</v>
          </cell>
          <cell r="O462">
            <v>1.9739186988200002</v>
          </cell>
          <cell r="P462">
            <v>1.8700715337848606</v>
          </cell>
          <cell r="Q462">
            <v>1.8306341141453828</v>
          </cell>
          <cell r="R462">
            <v>1.8187311758565734</v>
          </cell>
          <cell r="S462">
            <v>1.7966443069199998</v>
          </cell>
          <cell r="T462">
            <v>1.804911795381525</v>
          </cell>
          <cell r="U462">
            <v>1.8156693271111104</v>
          </cell>
          <cell r="V462">
            <v>1.7735453421730369</v>
          </cell>
          <cell r="W462">
            <v>1.7949499953319923</v>
          </cell>
          <cell r="X462">
            <v>1.7585948726868694</v>
          </cell>
          <cell r="Y462">
            <v>1.7139945839034216</v>
          </cell>
          <cell r="Z462">
            <v>1.7780297106882601</v>
          </cell>
          <cell r="AA462">
            <v>1.8301454841935472</v>
          </cell>
          <cell r="AB462">
            <v>1.878540751653226</v>
          </cell>
          <cell r="AC462">
            <v>2.5057377503182581</v>
          </cell>
          <cell r="AD462">
            <v>3.119081774467146</v>
          </cell>
          <cell r="AE462">
            <v>3.7496560387378017</v>
          </cell>
          <cell r="AF462">
            <v>4.4081743489600012</v>
          </cell>
          <cell r="AG462">
            <v>5.1221114502077913</v>
          </cell>
          <cell r="AH462">
            <v>5.3967482322642759</v>
          </cell>
          <cell r="AI462">
            <v>5.5852558840209898</v>
          </cell>
        </row>
        <row r="463">
          <cell r="A463" t="str">
            <v>CourtOms4Q</v>
          </cell>
          <cell r="C463" t="str">
            <v>Courtagebrutto/Omsättning, %</v>
          </cell>
          <cell r="H463">
            <v>7.1254232739907458E-4</v>
          </cell>
          <cell r="I463">
            <v>7.6278534200130334E-4</v>
          </cell>
          <cell r="J463">
            <v>8.1057646458472423E-4</v>
          </cell>
          <cell r="K463">
            <v>8.1158982846881529E-4</v>
          </cell>
          <cell r="L463">
            <v>8.1085578117897695E-4</v>
          </cell>
          <cell r="M463">
            <v>8.0909810186886606E-4</v>
          </cell>
          <cell r="N463">
            <v>8.0683344819457831E-4</v>
          </cell>
          <cell r="O463">
            <v>8.3469666914489401E-4</v>
          </cell>
          <cell r="P463">
            <v>8.8262896583138047E-4</v>
          </cell>
          <cell r="Q463">
            <v>9.0331538571006081E-4</v>
          </cell>
          <cell r="R463">
            <v>9.2315343440294007E-4</v>
          </cell>
          <cell r="S463">
            <v>9.3088032982808404E-4</v>
          </cell>
          <cell r="T463">
            <v>9.618886396088103E-4</v>
          </cell>
          <cell r="U463">
            <v>9.7530944610418598E-4</v>
          </cell>
          <cell r="V463">
            <v>9.7848968260990515E-4</v>
          </cell>
          <cell r="W463">
            <v>9.8991232350913085E-4</v>
          </cell>
          <cell r="X463">
            <v>9.7740847929367173E-4</v>
          </cell>
          <cell r="Y463">
            <v>9.6133365787176334E-4</v>
          </cell>
          <cell r="Z463">
            <v>9.773401771803491E-4</v>
          </cell>
          <cell r="AA463">
            <v>9.9816417971582074E-4</v>
          </cell>
          <cell r="AB463">
            <v>9.9714454209764839E-4</v>
          </cell>
          <cell r="AC463">
            <v>1.0434549630893859E-3</v>
          </cell>
          <cell r="AD463">
            <v>1.0603529340888474E-3</v>
          </cell>
          <cell r="AE463">
            <v>1.0813736389514938E-3</v>
          </cell>
          <cell r="AF463">
            <v>1.1069371932153494E-3</v>
          </cell>
          <cell r="AG463">
            <v>1.1492400773130719E-3</v>
          </cell>
          <cell r="AH463">
            <v>1.163141182702235E-3</v>
          </cell>
          <cell r="AI463">
            <v>1.1560872102646903E-3</v>
          </cell>
        </row>
        <row r="464">
          <cell r="A464" t="str">
            <v>Handelsdagar4Q</v>
          </cell>
          <cell r="C464" t="str">
            <v>Handelsdagar, st</v>
          </cell>
          <cell r="H464">
            <v>247</v>
          </cell>
          <cell r="I464">
            <v>246.5</v>
          </cell>
          <cell r="J464">
            <v>247.5</v>
          </cell>
          <cell r="K464">
            <v>247.5</v>
          </cell>
          <cell r="L464">
            <v>248.5</v>
          </cell>
          <cell r="M464">
            <v>247</v>
          </cell>
          <cell r="N464">
            <v>250</v>
          </cell>
          <cell r="O464">
            <v>250</v>
          </cell>
          <cell r="P464">
            <v>251</v>
          </cell>
          <cell r="Q464">
            <v>254.5</v>
          </cell>
          <cell r="R464">
            <v>251</v>
          </cell>
          <cell r="S464">
            <v>250</v>
          </cell>
          <cell r="T464">
            <v>249</v>
          </cell>
          <cell r="U464">
            <v>247.5</v>
          </cell>
          <cell r="V464">
            <v>248.5</v>
          </cell>
          <cell r="W464">
            <v>248.5</v>
          </cell>
          <cell r="X464">
            <v>247.5</v>
          </cell>
          <cell r="Y464">
            <v>248.5</v>
          </cell>
          <cell r="Z464">
            <v>247</v>
          </cell>
          <cell r="AA464">
            <v>248</v>
          </cell>
          <cell r="AB464">
            <v>248</v>
          </cell>
          <cell r="AC464">
            <v>248</v>
          </cell>
          <cell r="AD464">
            <v>249</v>
          </cell>
          <cell r="AE464">
            <v>249</v>
          </cell>
          <cell r="AF464">
            <v>250</v>
          </cell>
          <cell r="AG464">
            <v>248.5</v>
          </cell>
          <cell r="AH464">
            <v>249.5</v>
          </cell>
          <cell r="AI464">
            <v>249.5</v>
          </cell>
        </row>
        <row r="465">
          <cell r="A465" t="str">
            <v>SnittAnställda4Q</v>
          </cell>
          <cell r="C465" t="str">
            <v>Medeltal anställda, st</v>
          </cell>
          <cell r="H465">
            <v>287.25</v>
          </cell>
          <cell r="I465">
            <v>293.8</v>
          </cell>
          <cell r="J465">
            <v>302.2</v>
          </cell>
          <cell r="K465">
            <v>314</v>
          </cell>
          <cell r="L465">
            <v>322.8</v>
          </cell>
          <cell r="M465">
            <v>329.6</v>
          </cell>
          <cell r="N465">
            <v>332</v>
          </cell>
          <cell r="O465">
            <v>338.2</v>
          </cell>
          <cell r="P465">
            <v>343.2</v>
          </cell>
          <cell r="Q465">
            <v>351.2</v>
          </cell>
          <cell r="R465">
            <v>361</v>
          </cell>
          <cell r="S465">
            <v>375.6</v>
          </cell>
          <cell r="T465">
            <v>382.67150967741935</v>
          </cell>
          <cell r="U465">
            <v>388.60173322580647</v>
          </cell>
          <cell r="V465">
            <v>395.24417322580643</v>
          </cell>
          <cell r="W465">
            <v>402.62960489247308</v>
          </cell>
          <cell r="X465">
            <v>406.08935916666667</v>
          </cell>
          <cell r="Y465">
            <v>411.81581400537635</v>
          </cell>
          <cell r="Z465">
            <v>416.34378812365594</v>
          </cell>
          <cell r="AA465">
            <v>423.50134812365593</v>
          </cell>
          <cell r="AB465">
            <v>429.22473451354045</v>
          </cell>
          <cell r="AC465">
            <v>436.76498023934693</v>
          </cell>
          <cell r="AD465">
            <v>447.36701572321783</v>
          </cell>
          <cell r="AE465">
            <v>464.30881805655116</v>
          </cell>
          <cell r="AF465">
            <v>477.70881805655119</v>
          </cell>
          <cell r="AG465">
            <v>494</v>
          </cell>
          <cell r="AH465">
            <v>514.79999999999995</v>
          </cell>
          <cell r="AI465">
            <v>540</v>
          </cell>
        </row>
        <row r="466">
          <cell r="A466" t="str">
            <v>Driftstillg4Q</v>
          </cell>
          <cell r="C466" t="str">
            <v>Driftstillgänglighet på webbtjänsten, %</v>
          </cell>
          <cell r="H466">
            <v>0.99750000000000005</v>
          </cell>
          <cell r="I466">
            <v>0.99775000000000014</v>
          </cell>
          <cell r="J466">
            <v>0.99875000000000003</v>
          </cell>
          <cell r="K466">
            <v>0.999</v>
          </cell>
          <cell r="L466">
            <v>0.99950000000000006</v>
          </cell>
          <cell r="M466">
            <v>0.99990000000000001</v>
          </cell>
          <cell r="N466">
            <v>0.99982499999999996</v>
          </cell>
          <cell r="O466">
            <v>0.99982499999999996</v>
          </cell>
          <cell r="P466">
            <v>0.99885000000000002</v>
          </cell>
          <cell r="Q466">
            <v>0.99882500000000007</v>
          </cell>
          <cell r="R466">
            <v>0.99890000000000001</v>
          </cell>
          <cell r="S466">
            <v>0.99890000000000001</v>
          </cell>
          <cell r="T466">
            <v>0.99940000000000007</v>
          </cell>
          <cell r="U466">
            <v>0.999525</v>
          </cell>
          <cell r="V466">
            <v>0.999525</v>
          </cell>
          <cell r="W466">
            <v>0.999525</v>
          </cell>
          <cell r="X466">
            <v>1</v>
          </cell>
          <cell r="Y466">
            <v>0.99975101151571744</v>
          </cell>
          <cell r="Z466">
            <v>0.99917601151571744</v>
          </cell>
          <cell r="AA466">
            <v>0.99902601151571746</v>
          </cell>
          <cell r="AB466">
            <v>0.99882601151571748</v>
          </cell>
          <cell r="AC466">
            <v>0.99860000000000004</v>
          </cell>
          <cell r="AD466">
            <v>0.99917499999999992</v>
          </cell>
          <cell r="AE466">
            <v>0.99882500000000007</v>
          </cell>
          <cell r="AF466">
            <v>0.99902500000000005</v>
          </cell>
          <cell r="AG466">
            <v>0.99936425339366519</v>
          </cell>
          <cell r="AH466">
            <v>0.99936425339366519</v>
          </cell>
          <cell r="AI466">
            <v>0.99982654600301657</v>
          </cell>
        </row>
        <row r="468">
          <cell r="C468" t="str">
            <v>Nyckeltal</v>
          </cell>
        </row>
        <row r="469">
          <cell r="A469" t="str">
            <v>Ekperaktie</v>
          </cell>
          <cell r="C469" t="str">
            <v>Eget kapital per aktie, SEK</v>
          </cell>
          <cell r="E469">
            <v>5.9497539604367837</v>
          </cell>
          <cell r="F469">
            <v>4.7339021607839502</v>
          </cell>
          <cell r="G469">
            <v>5.1708201922736592</v>
          </cell>
          <cell r="H469">
            <v>5.6433641106903183</v>
          </cell>
          <cell r="I469">
            <v>4.9295617399829874</v>
          </cell>
          <cell r="J469">
            <v>6.194428180381319</v>
          </cell>
          <cell r="K469">
            <v>6.866683779273167</v>
          </cell>
          <cell r="L469">
            <v>7.6730385495778677</v>
          </cell>
          <cell r="M469">
            <v>8.3425863530385644</v>
          </cell>
          <cell r="N469">
            <v>7.3280162215143028</v>
          </cell>
          <cell r="O469">
            <v>8.0876675674512111</v>
          </cell>
          <cell r="P469">
            <v>8.7651805163661454</v>
          </cell>
          <cell r="Q469">
            <v>7.3569626798240355</v>
          </cell>
          <cell r="R469">
            <v>7.9504833588218835</v>
          </cell>
          <cell r="S469">
            <v>8.8607333965320763</v>
          </cell>
          <cell r="T469">
            <v>9.5144908474412873</v>
          </cell>
          <cell r="U469">
            <v>8.3244305951907531</v>
          </cell>
          <cell r="V469">
            <v>8.8247345733805407</v>
          </cell>
          <cell r="W469">
            <v>10.161931101035721</v>
          </cell>
          <cell r="X469">
            <v>10.664972883910796</v>
          </cell>
          <cell r="Y469">
            <v>9.3545229048653891</v>
          </cell>
          <cell r="Z469">
            <v>10.101590088029869</v>
          </cell>
          <cell r="AA469">
            <v>11.959922566295704</v>
          </cell>
          <cell r="AB469">
            <v>12.649482924022777</v>
          </cell>
          <cell r="AC469">
            <v>11.948480627504065</v>
          </cell>
          <cell r="AD469">
            <v>14.12893038362135</v>
          </cell>
          <cell r="AE469">
            <v>16.879481474516965</v>
          </cell>
          <cell r="AF469">
            <v>20.4715570700541</v>
          </cell>
          <cell r="AG469">
            <v>23.683804620935717</v>
          </cell>
          <cell r="AH469">
            <v>26.582382456142724</v>
          </cell>
          <cell r="AI469">
            <v>30.039572247234169</v>
          </cell>
        </row>
        <row r="470">
          <cell r="C470" t="str">
            <v>Kapitalbas/Kapitalkrav</v>
          </cell>
          <cell r="E470" t="str">
            <v>n/a</v>
          </cell>
          <cell r="F470" t="str">
            <v>n/a</v>
          </cell>
          <cell r="G470" t="str">
            <v>n/a</v>
          </cell>
          <cell r="H470" t="str">
            <v>n/a</v>
          </cell>
          <cell r="I470" t="str">
            <v>n/a</v>
          </cell>
          <cell r="J470" t="str">
            <v>n/a</v>
          </cell>
          <cell r="K470" t="str">
            <v>n/a</v>
          </cell>
          <cell r="L470">
            <v>1.6710210141951727</v>
          </cell>
          <cell r="M470">
            <v>1.6156855955290075</v>
          </cell>
          <cell r="N470">
            <v>1.5711727730873821</v>
          </cell>
          <cell r="O470">
            <v>1.6611844197250913</v>
          </cell>
          <cell r="P470">
            <v>1.6576929403363816</v>
          </cell>
          <cell r="Q470">
            <v>1.6157983488866301</v>
          </cell>
          <cell r="R470">
            <v>1.5993425663835501</v>
          </cell>
          <cell r="S470">
            <v>1.6498896897563595</v>
          </cell>
          <cell r="T470">
            <v>1.5497390654474201</v>
          </cell>
          <cell r="U470">
            <v>1.475197059162902</v>
          </cell>
          <cell r="V470">
            <v>1.4283272434267742</v>
          </cell>
          <cell r="W470">
            <v>1.3441357863662386</v>
          </cell>
          <cell r="X470">
            <v>1.341839448295028</v>
          </cell>
          <cell r="Y470">
            <v>1.2635900514742864</v>
          </cell>
          <cell r="Z470">
            <v>1.223337255560665</v>
          </cell>
          <cell r="AA470">
            <v>1.3161497039854924</v>
          </cell>
          <cell r="AB470">
            <v>1.297065911402127</v>
          </cell>
          <cell r="AC470">
            <v>1.4259074450950697</v>
          </cell>
          <cell r="AD470">
            <v>1.3900016374837321</v>
          </cell>
          <cell r="AE470">
            <v>1.4546736582981961</v>
          </cell>
          <cell r="AF470">
            <v>1.7515250663467681</v>
          </cell>
          <cell r="AG470">
            <v>1.680526828599572</v>
          </cell>
          <cell r="AH470">
            <v>1.7903500295131998</v>
          </cell>
          <cell r="AI470">
            <v>1.7805340168647235</v>
          </cell>
        </row>
        <row r="471">
          <cell r="A471" t="str">
            <v>AntalAnst</v>
          </cell>
          <cell r="C471" t="str">
            <v>Antal anställda, st</v>
          </cell>
          <cell r="E471">
            <v>282</v>
          </cell>
          <cell r="F471">
            <v>281</v>
          </cell>
          <cell r="G471">
            <v>290</v>
          </cell>
          <cell r="H471">
            <v>296</v>
          </cell>
          <cell r="I471">
            <v>320</v>
          </cell>
          <cell r="J471">
            <v>324</v>
          </cell>
          <cell r="K471">
            <v>340</v>
          </cell>
          <cell r="L471">
            <v>334</v>
          </cell>
          <cell r="M471">
            <v>330</v>
          </cell>
          <cell r="N471">
            <v>332</v>
          </cell>
          <cell r="O471">
            <v>355</v>
          </cell>
          <cell r="P471">
            <v>365</v>
          </cell>
          <cell r="Q471">
            <v>374</v>
          </cell>
          <cell r="R471">
            <v>379</v>
          </cell>
          <cell r="S471">
            <v>405</v>
          </cell>
          <cell r="T471">
            <v>390.35754838709681</v>
          </cell>
          <cell r="U471">
            <v>394.65111774193548</v>
          </cell>
          <cell r="V471">
            <v>407.21219999999994</v>
          </cell>
          <cell r="W471">
            <v>415.9271583333333</v>
          </cell>
          <cell r="X471">
            <v>422.29877137096781</v>
          </cell>
          <cell r="Y471">
            <v>418.98982258064524</v>
          </cell>
          <cell r="Z471">
            <v>417.29098833333342</v>
          </cell>
          <cell r="AA471">
            <v>443</v>
          </cell>
          <cell r="AB471">
            <v>444.54409028275586</v>
          </cell>
          <cell r="AC471">
            <v>460</v>
          </cell>
          <cell r="AD471">
            <v>472</v>
          </cell>
          <cell r="AE471">
            <v>502</v>
          </cell>
          <cell r="AF471">
            <v>510</v>
          </cell>
          <cell r="AG471">
            <v>526</v>
          </cell>
          <cell r="AH471">
            <v>564</v>
          </cell>
          <cell r="AI471">
            <v>598</v>
          </cell>
        </row>
        <row r="472">
          <cell r="A472" t="str">
            <v>Börskurs</v>
          </cell>
          <cell r="C472" t="str">
            <v>Börskurs, SEK</v>
          </cell>
          <cell r="E472">
            <v>49.7</v>
          </cell>
          <cell r="F472">
            <v>56</v>
          </cell>
          <cell r="G472">
            <v>48.7</v>
          </cell>
          <cell r="H472">
            <v>51.6</v>
          </cell>
          <cell r="I472">
            <v>60.1</v>
          </cell>
          <cell r="J472">
            <v>60.3</v>
          </cell>
          <cell r="K472">
            <v>68.7</v>
          </cell>
          <cell r="L472">
            <v>73.5</v>
          </cell>
          <cell r="M472">
            <v>72.400000000000006</v>
          </cell>
          <cell r="N472">
            <v>64.599999999999994</v>
          </cell>
          <cell r="O472">
            <v>67.8</v>
          </cell>
          <cell r="P472">
            <v>73.8</v>
          </cell>
          <cell r="Q472">
            <v>67.38</v>
          </cell>
          <cell r="R472">
            <v>73.58</v>
          </cell>
          <cell r="S472">
            <v>68.239999999999995</v>
          </cell>
          <cell r="T472">
            <v>68.820000000000007</v>
          </cell>
          <cell r="U472">
            <v>88.039999999999992</v>
          </cell>
          <cell r="V472">
            <v>92</v>
          </cell>
          <cell r="W472">
            <v>80.960000000000008</v>
          </cell>
          <cell r="X472">
            <v>84.72</v>
          </cell>
          <cell r="Y472">
            <v>79.8</v>
          </cell>
          <cell r="Z472">
            <v>70.900000000000006</v>
          </cell>
          <cell r="AA472">
            <v>80.2</v>
          </cell>
          <cell r="AB472">
            <v>97.8</v>
          </cell>
          <cell r="AC472">
            <v>82.8</v>
          </cell>
          <cell r="AD472">
            <v>132.30000000000001</v>
          </cell>
          <cell r="AE472">
            <v>175.8</v>
          </cell>
          <cell r="AF472">
            <v>233</v>
          </cell>
          <cell r="AG472">
            <v>271.39999999999998</v>
          </cell>
          <cell r="AH472">
            <v>266.89999999999998</v>
          </cell>
          <cell r="AI472">
            <v>309.60000000000002</v>
          </cell>
        </row>
        <row r="473">
          <cell r="A473" t="str">
            <v>Börsvärde</v>
          </cell>
          <cell r="C473" t="str">
            <v>Börsvärde, MSEK</v>
          </cell>
          <cell r="E473">
            <v>7175.1261295000004</v>
          </cell>
          <cell r="F473">
            <v>8084.6491599999999</v>
          </cell>
          <cell r="G473">
            <v>7030.7573945000004</v>
          </cell>
          <cell r="H473">
            <v>7449.4267259999997</v>
          </cell>
          <cell r="I473">
            <v>8676.5609734999998</v>
          </cell>
          <cell r="J473">
            <v>8847.2425320000002</v>
          </cell>
          <cell r="K473">
            <v>10079.694228</v>
          </cell>
          <cell r="L473">
            <v>10783.95234</v>
          </cell>
          <cell r="M473">
            <v>10622.559856</v>
          </cell>
          <cell r="N473">
            <v>9637.9718059999996</v>
          </cell>
          <cell r="O473">
            <v>10115.394558</v>
          </cell>
          <cell r="P473">
            <v>11010.562217999999</v>
          </cell>
          <cell r="Q473">
            <v>10052.732821799998</v>
          </cell>
          <cell r="R473">
            <v>10977.739403799998</v>
          </cell>
          <cell r="S473">
            <v>10234.7109464</v>
          </cell>
          <cell r="T473">
            <v>10321.699990200001</v>
          </cell>
          <cell r="U473">
            <v>13204.3369244</v>
          </cell>
          <cell r="V473">
            <v>13798.262119999999</v>
          </cell>
          <cell r="W473">
            <v>12254.508780800001</v>
          </cell>
          <cell r="X473">
            <v>12823.6411056</v>
          </cell>
          <cell r="Y473">
            <v>12078.925404</v>
          </cell>
          <cell r="Z473">
            <v>10731.777082000001</v>
          </cell>
          <cell r="AA473">
            <v>12333.663024399999</v>
          </cell>
          <cell r="AB473">
            <v>15040.302291600001</v>
          </cell>
          <cell r="AC473">
            <v>12733.5074616</v>
          </cell>
          <cell r="AD473">
            <v>20345.930400600002</v>
          </cell>
          <cell r="AE473">
            <v>27240.914958000001</v>
          </cell>
          <cell r="AF473">
            <v>36104.284330000002</v>
          </cell>
          <cell r="AG473">
            <v>42054.518314000001</v>
          </cell>
          <cell r="AH473">
            <v>41357.225269000002</v>
          </cell>
          <cell r="AI473">
            <v>48165.016276800001</v>
          </cell>
        </row>
        <row r="474">
          <cell r="A474" t="str">
            <v>Utlån_Inlån</v>
          </cell>
          <cell r="C474" t="str">
            <v>Utlåning/Inlåning</v>
          </cell>
          <cell r="AG474">
            <v>0.37582036319913936</v>
          </cell>
          <cell r="AH474">
            <v>0.40739859173195764</v>
          </cell>
          <cell r="AI474">
            <v>0.38281552835066213</v>
          </cell>
        </row>
        <row r="476">
          <cell r="C476" t="str">
            <v>Kapitalöverskott (kSEK)</v>
          </cell>
        </row>
        <row r="477">
          <cell r="C477" t="str">
            <v>Eget kapital i koncernen</v>
          </cell>
          <cell r="L477">
            <v>1125791.5921310266</v>
          </cell>
          <cell r="M477">
            <v>1224027.9404558134</v>
          </cell>
          <cell r="N477">
            <v>1093300.5222425</v>
          </cell>
          <cell r="O477">
            <v>1206636.408535532</v>
          </cell>
          <cell r="P477">
            <v>1307717.6887188456</v>
          </cell>
          <cell r="Q477">
            <v>1097619.1778009019</v>
          </cell>
          <cell r="R477">
            <v>1186169.264030921</v>
          </cell>
          <cell r="S477">
            <v>1328942.6302259509</v>
          </cell>
          <cell r="T477">
            <v>1426993.8983840849</v>
          </cell>
          <cell r="U477">
            <v>1248507.3407846699</v>
          </cell>
          <cell r="V477">
            <v>1323543.4867709898</v>
          </cell>
          <cell r="W477">
            <v>1538160.4978696499</v>
          </cell>
          <cell r="X477">
            <v>1614303.4072737</v>
          </cell>
          <cell r="Y477">
            <v>1415947.1724044913</v>
          </cell>
          <cell r="Z477">
            <v>1529026.9816428395</v>
          </cell>
          <cell r="AA477">
            <v>1839272.5028754175</v>
          </cell>
          <cell r="AB477">
            <v>1945317.4540872683</v>
          </cell>
          <cell r="AC477">
            <v>1837512.8891921022</v>
          </cell>
          <cell r="AD477">
            <v>2172836.2374911765</v>
          </cell>
          <cell r="AE477">
            <v>2615543.3411971163</v>
          </cell>
          <cell r="AF477">
            <v>3172149.8589487337</v>
          </cell>
          <cell r="AG477">
            <v>3669900.4980705194</v>
          </cell>
          <cell r="AH477">
            <v>4119046.7569329645</v>
          </cell>
          <cell r="AI477">
            <v>4673309.0640702303</v>
          </cell>
        </row>
        <row r="478">
          <cell r="C478" t="str">
            <v>Solvenskapital (NPV)</v>
          </cell>
          <cell r="L478">
            <v>1241655.842100865</v>
          </cell>
          <cell r="M478">
            <v>1226095.0568409627</v>
          </cell>
          <cell r="N478">
            <v>2132552.0699999998</v>
          </cell>
          <cell r="O478">
            <v>2380023.0090000001</v>
          </cell>
          <cell r="P478">
            <v>2339638.287</v>
          </cell>
          <cell r="Q478">
            <v>2474200</v>
          </cell>
          <cell r="R478">
            <v>2563000</v>
          </cell>
          <cell r="S478">
            <v>2536000</v>
          </cell>
          <cell r="T478">
            <v>2522862.966</v>
          </cell>
          <cell r="U478">
            <v>1091000</v>
          </cell>
          <cell r="V478">
            <v>1162829.4673599999</v>
          </cell>
          <cell r="W478">
            <v>988277</v>
          </cell>
          <cell r="X478">
            <v>909011.94541000004</v>
          </cell>
          <cell r="Y478">
            <v>1069678.7390000001</v>
          </cell>
          <cell r="Z478">
            <v>1128549.05566586</v>
          </cell>
          <cell r="AA478">
            <v>1185392.7178100001</v>
          </cell>
          <cell r="AB478">
            <v>1294131.78162</v>
          </cell>
          <cell r="AC478">
            <v>1113847.89637</v>
          </cell>
          <cell r="AD478">
            <v>1369140.2422799999</v>
          </cell>
          <cell r="AE478">
            <v>1584899.5149999999</v>
          </cell>
          <cell r="AF478">
            <v>1793584.1577983</v>
          </cell>
          <cell r="AG478">
            <v>2066653.8770000001</v>
          </cell>
          <cell r="AH478">
            <v>2239076.4699999997</v>
          </cell>
          <cell r="AI478">
            <v>0</v>
          </cell>
        </row>
        <row r="479">
          <cell r="A479" t="str">
            <v>EjUtdSolvenskap</v>
          </cell>
          <cell r="C479" t="str">
            <v>Avdrag för ej utdelningsbart solvenskapital</v>
          </cell>
          <cell r="L479">
            <v>-478005</v>
          </cell>
          <cell r="M479">
            <v>-468000</v>
          </cell>
          <cell r="N479">
            <v>-825000</v>
          </cell>
          <cell r="O479">
            <v>-923081.29099999997</v>
          </cell>
          <cell r="P479">
            <v>-908014.39099999995</v>
          </cell>
          <cell r="Q479">
            <v>-960700</v>
          </cell>
          <cell r="R479">
            <v>-995800</v>
          </cell>
          <cell r="S479">
            <v>-1004600</v>
          </cell>
          <cell r="T479">
            <v>-959865.41500000004</v>
          </cell>
          <cell r="U479">
            <v>-377400</v>
          </cell>
          <cell r="V479">
            <v>-372600</v>
          </cell>
          <cell r="W479">
            <v>-143985.91399999999</v>
          </cell>
          <cell r="X479">
            <v>-138171.01691017899</v>
          </cell>
          <cell r="Y479">
            <v>-171761.375</v>
          </cell>
          <cell r="Z479">
            <v>-159329.79243926899</v>
          </cell>
          <cell r="AA479">
            <v>-162313.73527999999</v>
          </cell>
          <cell r="AB479">
            <v>-186285.85032365</v>
          </cell>
          <cell r="AC479">
            <v>-161340.26436999999</v>
          </cell>
          <cell r="AD479">
            <v>-228916.91631</v>
          </cell>
          <cell r="AE479">
            <v>-303862.83799999999</v>
          </cell>
          <cell r="AF479">
            <v>-293537.42064246698</v>
          </cell>
          <cell r="AH479">
            <v>-228916.91631</v>
          </cell>
          <cell r="AI479">
            <v>-303862.83799999999</v>
          </cell>
        </row>
        <row r="480">
          <cell r="C480" t="str">
            <v>Förlagslån</v>
          </cell>
          <cell r="L480">
            <v>78488.276991999999</v>
          </cell>
          <cell r="M480">
            <v>83144</v>
          </cell>
          <cell r="N480">
            <v>93471</v>
          </cell>
          <cell r="O480">
            <v>86905.786999999997</v>
          </cell>
          <cell r="P480">
            <v>92190</v>
          </cell>
          <cell r="Q480">
            <v>96000</v>
          </cell>
          <cell r="R480">
            <v>99000</v>
          </cell>
          <cell r="S480">
            <v>99000</v>
          </cell>
          <cell r="T480">
            <v>99407</v>
          </cell>
          <cell r="U480">
            <v>77000</v>
          </cell>
          <cell r="V480">
            <v>81362</v>
          </cell>
          <cell r="W480">
            <v>76528</v>
          </cell>
          <cell r="X480">
            <v>75202.388000000006</v>
          </cell>
          <cell r="Y480">
            <v>83769.468999999997</v>
          </cell>
          <cell r="Z480">
            <v>87523.475999999995</v>
          </cell>
          <cell r="AA480">
            <v>78225.694000000003</v>
          </cell>
          <cell r="AB480">
            <v>79819.661999999997</v>
          </cell>
          <cell r="AC480">
            <v>66912.073000000004</v>
          </cell>
          <cell r="AD480">
            <v>70283.447</v>
          </cell>
          <cell r="AE480">
            <v>68717.263000000006</v>
          </cell>
          <cell r="AF480">
            <v>0</v>
          </cell>
          <cell r="AG480">
            <v>0</v>
          </cell>
          <cell r="AH480">
            <v>0</v>
          </cell>
          <cell r="AI480">
            <v>0</v>
          </cell>
        </row>
        <row r="481">
          <cell r="C481" t="str">
            <v>Ytterligare värdejusteringar</v>
          </cell>
          <cell r="X481">
            <v>-17073.546999999999</v>
          </cell>
          <cell r="Y481">
            <v>0</v>
          </cell>
          <cell r="Z481">
            <v>0</v>
          </cell>
          <cell r="AA481">
            <v>-20347.062999999998</v>
          </cell>
          <cell r="AB481">
            <v>-19889.875</v>
          </cell>
          <cell r="AC481">
            <v>-32829.883999999998</v>
          </cell>
          <cell r="AD481">
            <v>-27591.186000000002</v>
          </cell>
          <cell r="AE481">
            <v>-7943.0510000000004</v>
          </cell>
          <cell r="AF481">
            <v>-7226.0540000000001</v>
          </cell>
          <cell r="AG481">
            <v>-7940.8549999999996</v>
          </cell>
          <cell r="AH481">
            <v>-7527.2930000000006</v>
          </cell>
          <cell r="AI481">
            <v>0</v>
          </cell>
        </row>
        <row r="482">
          <cell r="A482" t="str">
            <v>NegImmATochUppskjSkattefordr</v>
          </cell>
          <cell r="C482" t="str">
            <v>Immateriella anläggningstillgångar och uppskjutna skattefordringar</v>
          </cell>
          <cell r="L482">
            <v>-38575.896999999939</v>
          </cell>
          <cell r="M482">
            <v>-45335.320999999996</v>
          </cell>
          <cell r="N482">
            <v>-49785.595000000001</v>
          </cell>
          <cell r="O482">
            <v>-53108.571000000025</v>
          </cell>
          <cell r="P482">
            <v>-62719.411000000022</v>
          </cell>
          <cell r="Q482">
            <v>-67051.107000000018</v>
          </cell>
          <cell r="R482">
            <v>-78678.891999999993</v>
          </cell>
          <cell r="S482">
            <v>-83738.953000000009</v>
          </cell>
          <cell r="T482">
            <v>-88546.177229999957</v>
          </cell>
          <cell r="U482">
            <v>-91600</v>
          </cell>
          <cell r="V482">
            <v>-88642.222239999901</v>
          </cell>
          <cell r="W482">
            <v>-86326.385619999972</v>
          </cell>
          <cell r="X482">
            <v>-84565.113969999948</v>
          </cell>
          <cell r="Y482">
            <v>-83869.030319999962</v>
          </cell>
          <cell r="Z482">
            <v>-80636.982650000005</v>
          </cell>
          <cell r="AA482">
            <v>-79682.932929999966</v>
          </cell>
          <cell r="AB482">
            <v>-75958.690249999985</v>
          </cell>
          <cell r="AC482">
            <v>-73922.301550000033</v>
          </cell>
          <cell r="AD482">
            <v>-73273.443900000013</v>
          </cell>
          <cell r="AE482">
            <v>-75306.964210000006</v>
          </cell>
          <cell r="AF482">
            <v>-81696.882099999988</v>
          </cell>
          <cell r="AG482">
            <v>-94377.58567999996</v>
          </cell>
          <cell r="AH482">
            <v>-117337.1838</v>
          </cell>
          <cell r="AI482">
            <v>-140224.45887000009</v>
          </cell>
        </row>
        <row r="483">
          <cell r="A483" t="str">
            <v>KapbasUtdjust</v>
          </cell>
          <cell r="C483" t="str">
            <v>Kapitalbas före utdelningsjusteringar</v>
          </cell>
          <cell r="L483">
            <v>1929354.8142238914</v>
          </cell>
          <cell r="M483">
            <v>2019931.6762967762</v>
          </cell>
          <cell r="N483">
            <v>2444537.9972424996</v>
          </cell>
          <cell r="O483">
            <v>2697375.3425355321</v>
          </cell>
          <cell r="P483">
            <v>2768812.1737188459</v>
          </cell>
          <cell r="Q483">
            <v>2640068.0708009023</v>
          </cell>
          <cell r="R483">
            <v>2773690.3720309213</v>
          </cell>
          <cell r="S483">
            <v>2875603.6772259506</v>
          </cell>
          <cell r="T483">
            <v>3000852.2721540849</v>
          </cell>
          <cell r="U483">
            <v>1947507.3407846699</v>
          </cell>
          <cell r="V483">
            <v>2106492.7318909895</v>
          </cell>
          <cell r="W483">
            <v>2372653.1982496502</v>
          </cell>
          <cell r="X483">
            <v>2358708.0628035213</v>
          </cell>
          <cell r="Y483">
            <v>2313764.9750844915</v>
          </cell>
          <cell r="Z483">
            <v>2505132.7382194302</v>
          </cell>
          <cell r="AA483">
            <v>2840547.1834754176</v>
          </cell>
          <cell r="AB483">
            <v>3037134.4821336181</v>
          </cell>
          <cell r="AC483">
            <v>2750180.408642102</v>
          </cell>
          <cell r="AD483">
            <v>3282478.3805611762</v>
          </cell>
          <cell r="AE483">
            <v>3882047.2659871159</v>
          </cell>
          <cell r="AF483">
            <v>4583273.6600045664</v>
          </cell>
          <cell r="AG483">
            <v>5634235.9343905197</v>
          </cell>
          <cell r="AH483">
            <v>6004341.8338229647</v>
          </cell>
          <cell r="AI483">
            <v>4229221.7672002306</v>
          </cell>
        </row>
        <row r="485">
          <cell r="A485" t="str">
            <v>KravPelare1</v>
          </cell>
          <cell r="C485" t="str">
            <v>Kapitalkrav Pelare 1</v>
          </cell>
          <cell r="L485">
            <v>-1107910.8937254751</v>
          </cell>
          <cell r="M485">
            <v>-1131856.0753618467</v>
          </cell>
          <cell r="N485">
            <v>-1724581.6769999999</v>
          </cell>
          <cell r="O485">
            <v>-1846511.1379999998</v>
          </cell>
          <cell r="P485">
            <v>-1809619.8959999999</v>
          </cell>
          <cell r="Q485">
            <v>-1909350</v>
          </cell>
          <cell r="R485">
            <v>-1974000</v>
          </cell>
          <cell r="S485">
            <v>-1957400</v>
          </cell>
          <cell r="T485">
            <v>-2017934.551</v>
          </cell>
          <cell r="U485">
            <v>-1176400</v>
          </cell>
          <cell r="V485">
            <v>-1266298.4571700003</v>
          </cell>
          <cell r="W485">
            <v>-1335023.1439999999</v>
          </cell>
          <cell r="X485">
            <v>-1253411.8033998208</v>
          </cell>
          <cell r="Y485">
            <v>-1434235.4221247581</v>
          </cell>
          <cell r="Z485">
            <v>-1530790.9283049719</v>
          </cell>
          <cell r="AA485">
            <v>-1595776.2609683899</v>
          </cell>
          <cell r="AB485">
            <v>-1720683.49523738</v>
          </cell>
          <cell r="AC485">
            <v>-1562007.8637486179</v>
          </cell>
          <cell r="AD485">
            <v>-1787695.0673707139</v>
          </cell>
          <cell r="AE485">
            <v>-1920598.8363457718</v>
          </cell>
          <cell r="AF485">
            <v>-2224960.7951035257</v>
          </cell>
          <cell r="AG485">
            <v>-2469213.700492586</v>
          </cell>
          <cell r="AH485">
            <v>-2669606.3232887438</v>
          </cell>
          <cell r="AI485">
            <v>-3212583.1825680798</v>
          </cell>
        </row>
        <row r="486">
          <cell r="A486" t="str">
            <v>SolvenskapitalkravSCR</v>
          </cell>
          <cell r="C486" t="str">
            <v>varav Solvenskapitalkrav (SCR)</v>
          </cell>
          <cell r="P486">
            <v>-1431623.8959999999</v>
          </cell>
          <cell r="S486">
            <v>-1531000</v>
          </cell>
          <cell r="T486">
            <v>-1562997.551</v>
          </cell>
          <cell r="U486">
            <v>-714000</v>
          </cell>
          <cell r="V486">
            <v>-790000</v>
          </cell>
          <cell r="W486">
            <v>-844291</v>
          </cell>
          <cell r="X486">
            <v>-770840.92849982099</v>
          </cell>
          <cell r="Y486">
            <v>-897917.36399999994</v>
          </cell>
          <cell r="Z486">
            <v>-969219.26322659198</v>
          </cell>
          <cell r="AA486">
            <v>-1023078.98253</v>
          </cell>
          <cell r="AB486">
            <v>-1107845.93129635</v>
          </cell>
          <cell r="AC486">
            <v>-952507.63199999998</v>
          </cell>
          <cell r="AD486">
            <v>-1140223.3259699999</v>
          </cell>
          <cell r="AE486">
            <v>-1281036.6769999999</v>
          </cell>
          <cell r="AF486">
            <v>-1500046.73715583</v>
          </cell>
          <cell r="AH486">
            <v>-1140223.3259699999</v>
          </cell>
          <cell r="AI486">
            <v>-1281036.6769999999</v>
          </cell>
        </row>
        <row r="487">
          <cell r="A487" t="str">
            <v>Buffertkrav</v>
          </cell>
          <cell r="C487" t="str">
            <v>Buffertkrav</v>
          </cell>
          <cell r="L487">
            <v>-137355.10915</v>
          </cell>
          <cell r="M487">
            <v>-145502.60816000003</v>
          </cell>
          <cell r="N487">
            <v>-186941.16876</v>
          </cell>
          <cell r="O487">
            <v>-173811.57328000001</v>
          </cell>
          <cell r="P487">
            <v>-184380.64</v>
          </cell>
          <cell r="Q487">
            <v>-216500</v>
          </cell>
          <cell r="R487">
            <v>-224000</v>
          </cell>
          <cell r="S487">
            <v>-236000</v>
          </cell>
          <cell r="T487">
            <v>-254000</v>
          </cell>
          <cell r="U487">
            <v>-266000</v>
          </cell>
          <cell r="V487">
            <v>-272611.53899999999</v>
          </cell>
          <cell r="W487">
            <v>-280614</v>
          </cell>
          <cell r="X487">
            <v>-287893.83600000001</v>
          </cell>
          <cell r="Y487">
            <v>-323756.408</v>
          </cell>
          <cell r="Z487">
            <v>-337671.033</v>
          </cell>
          <cell r="AA487">
            <v>-381808.554</v>
          </cell>
          <cell r="AB487">
            <v>-378399.66600000003</v>
          </cell>
          <cell r="AC487">
            <v>-188669.353</v>
          </cell>
          <cell r="AD487">
            <v>-200116.571</v>
          </cell>
          <cell r="AE487">
            <v>-197404.39199999999</v>
          </cell>
          <cell r="AF487">
            <v>-224164.106</v>
          </cell>
          <cell r="AG487">
            <v>-227795.348</v>
          </cell>
          <cell r="AH487">
            <v>-240226.603</v>
          </cell>
          <cell r="AI487">
            <v>0</v>
          </cell>
        </row>
        <row r="488">
          <cell r="A488" t="str">
            <v>KravPelare2</v>
          </cell>
          <cell r="C488" t="str">
            <v>Kapitalkrav Pelare 2</v>
          </cell>
          <cell r="L488">
            <v>-11000</v>
          </cell>
          <cell r="M488">
            <v>-11000</v>
          </cell>
          <cell r="N488">
            <v>-46990</v>
          </cell>
          <cell r="O488">
            <v>-33604</v>
          </cell>
          <cell r="P488">
            <v>-35035</v>
          </cell>
          <cell r="Q488">
            <v>-38750</v>
          </cell>
          <cell r="R488">
            <v>-39000</v>
          </cell>
          <cell r="S488">
            <v>-40000</v>
          </cell>
          <cell r="T488">
            <v>-80563</v>
          </cell>
          <cell r="U488">
            <v>-62000</v>
          </cell>
          <cell r="V488">
            <v>-70196</v>
          </cell>
          <cell r="W488">
            <v>-79310</v>
          </cell>
          <cell r="X488">
            <v>-82594.019</v>
          </cell>
          <cell r="Y488">
            <v>-114396.162582256</v>
          </cell>
          <cell r="Z488">
            <v>-119344.53</v>
          </cell>
          <cell r="AA488">
            <v>-114623.886</v>
          </cell>
          <cell r="AB488">
            <v>-113380.96</v>
          </cell>
          <cell r="AC488">
            <v>-118740.288</v>
          </cell>
          <cell r="AD488">
            <v>-119815.947</v>
          </cell>
          <cell r="AE488">
            <v>-122966.71799999999</v>
          </cell>
          <cell r="AF488">
            <v>-260000</v>
          </cell>
          <cell r="AG488">
            <v>-279765.56900000002</v>
          </cell>
          <cell r="AH488">
            <v>-260000</v>
          </cell>
          <cell r="AI488">
            <v>0</v>
          </cell>
        </row>
        <row r="489">
          <cell r="A489" t="str">
            <v>KapkravKapöverskott</v>
          </cell>
          <cell r="C489" t="str">
            <v>Kapitalkrav</v>
          </cell>
          <cell r="L489">
            <v>-1256266.002875475</v>
          </cell>
          <cell r="M489">
            <v>-1288358.6835218468</v>
          </cell>
          <cell r="N489">
            <v>-1958512.8457599999</v>
          </cell>
          <cell r="O489">
            <v>-2053926.7112799999</v>
          </cell>
          <cell r="P489">
            <v>-2029035.5359999998</v>
          </cell>
          <cell r="Q489">
            <v>-2164600</v>
          </cell>
          <cell r="R489">
            <v>-2237000</v>
          </cell>
          <cell r="S489">
            <v>-2233400</v>
          </cell>
          <cell r="T489">
            <v>-2352497.551</v>
          </cell>
          <cell r="U489">
            <v>-1504400</v>
          </cell>
          <cell r="V489">
            <v>-1609105.9961700002</v>
          </cell>
          <cell r="W489">
            <v>-1694947.1439999999</v>
          </cell>
          <cell r="X489">
            <v>-1623899.658399821</v>
          </cell>
          <cell r="Y489">
            <v>-1872387.9927070141</v>
          </cell>
          <cell r="Z489">
            <v>-1987806.491304972</v>
          </cell>
          <cell r="AA489">
            <v>-2092208.7009683899</v>
          </cell>
          <cell r="AB489">
            <v>-2212464.12123738</v>
          </cell>
          <cell r="AC489">
            <v>-1869417.504748618</v>
          </cell>
          <cell r="AD489">
            <v>-2107627.5853707138</v>
          </cell>
          <cell r="AE489">
            <v>-2240969.9463457717</v>
          </cell>
          <cell r="AF489">
            <v>-2709124.9011035259</v>
          </cell>
          <cell r="AG489">
            <v>-2976774.6174925864</v>
          </cell>
          <cell r="AH489">
            <v>-3169832.926288744</v>
          </cell>
          <cell r="AI489">
            <v>-3212583.1825680798</v>
          </cell>
        </row>
        <row r="491">
          <cell r="A491" t="str">
            <v>KapöverskottUtd</v>
          </cell>
          <cell r="C491" t="str">
            <v>Kapitalöverskott före utdelning</v>
          </cell>
          <cell r="L491">
            <v>673088.81134841638</v>
          </cell>
          <cell r="M491">
            <v>731572.99277492939</v>
          </cell>
          <cell r="N491">
            <v>486025.15148249967</v>
          </cell>
          <cell r="O491">
            <v>643448.63125553215</v>
          </cell>
          <cell r="P491">
            <v>739776.63771884609</v>
          </cell>
          <cell r="Q491">
            <v>475468.07080090232</v>
          </cell>
          <cell r="R491">
            <v>536690.37203092128</v>
          </cell>
          <cell r="S491">
            <v>642203.67722595064</v>
          </cell>
          <cell r="T491">
            <v>648354.72115408489</v>
          </cell>
          <cell r="U491">
            <v>443107.34078466985</v>
          </cell>
          <cell r="V491">
            <v>497386.73572098929</v>
          </cell>
          <cell r="W491">
            <v>677706.05424965033</v>
          </cell>
          <cell r="X491">
            <v>734808.40440370026</v>
          </cell>
          <cell r="Y491">
            <v>441376.98237747746</v>
          </cell>
          <cell r="Z491">
            <v>517326.24691445823</v>
          </cell>
          <cell r="AA491">
            <v>748338.48250702769</v>
          </cell>
          <cell r="AB491">
            <v>824670.36089623813</v>
          </cell>
          <cell r="AC491">
            <v>880762.90389348404</v>
          </cell>
          <cell r="AD491">
            <v>1174850.7951904624</v>
          </cell>
          <cell r="AE491">
            <v>1641077.3196413442</v>
          </cell>
          <cell r="AF491">
            <v>1874148.7589010405</v>
          </cell>
          <cell r="AG491">
            <v>2657461.3168979334</v>
          </cell>
          <cell r="AH491">
            <v>2834508.9075342207</v>
          </cell>
          <cell r="AI491">
            <v>1016638.5846321508</v>
          </cell>
        </row>
        <row r="493">
          <cell r="A493" t="str">
            <v>KapöverskPerAktie</v>
          </cell>
          <cell r="C493" t="str">
            <v>Kapitalöverskott per aktie, SEK</v>
          </cell>
          <cell r="L493">
            <v>4.5875599292669538</v>
          </cell>
          <cell r="M493">
            <v>4.9861695669323876</v>
          </cell>
          <cell r="N493">
            <v>3.2576589159789329</v>
          </cell>
          <cell r="O493">
            <v>4.3128141911797764</v>
          </cell>
          <cell r="P493">
            <v>4.9584675861872363</v>
          </cell>
          <cell r="Q493">
            <v>15.94</v>
          </cell>
          <cell r="R493">
            <v>3.5972504102589316</v>
          </cell>
          <cell r="S493">
            <v>4.291897081745498</v>
          </cell>
          <cell r="T493">
            <v>4.3229092060599159</v>
          </cell>
          <cell r="U493">
            <v>2.9544209986488958</v>
          </cell>
          <cell r="V493">
            <v>3.3163292078648392</v>
          </cell>
          <cell r="W493">
            <v>4.477297550923935</v>
          </cell>
          <cell r="X493">
            <v>4.8545469659078355</v>
          </cell>
          <cell r="Y493">
            <v>2.9159782029996468</v>
          </cell>
          <cell r="Z493">
            <v>3.4177406617730086</v>
          </cell>
          <cell r="AA493">
            <v>4.8660925937680437</v>
          </cell>
          <cell r="AB493">
            <v>5.3624428373821056</v>
          </cell>
          <cell r="AC493">
            <v>5.7271862181181756</v>
          </cell>
          <cell r="AD493">
            <v>7.6395012242406208</v>
          </cell>
          <cell r="AE493">
            <v>10.590737985040493</v>
          </cell>
          <cell r="AF493">
            <v>12.094870980757713</v>
          </cell>
          <cell r="AG493">
            <v>17.150000292976824</v>
          </cell>
          <cell r="AH493">
            <v>18.292581828209677</v>
          </cell>
          <cell r="AI493">
            <v>6.5348530973864225</v>
          </cell>
        </row>
        <row r="495">
          <cell r="C495" t="str">
            <v>Koncernens balansräkning (kSEK)</v>
          </cell>
        </row>
        <row r="496">
          <cell r="C496" t="str">
            <v>Tillgångar</v>
          </cell>
        </row>
        <row r="497">
          <cell r="A497" t="str">
            <v>TillgCentralbank</v>
          </cell>
          <cell r="C497" t="str">
            <v>Kassa och tillgodohavanden hos centralbanker</v>
          </cell>
          <cell r="D497">
            <v>0</v>
          </cell>
          <cell r="E497">
            <v>0</v>
          </cell>
          <cell r="F497">
            <v>0</v>
          </cell>
          <cell r="G497">
            <v>0</v>
          </cell>
          <cell r="H497">
            <v>0</v>
          </cell>
          <cell r="I497">
            <v>0</v>
          </cell>
          <cell r="J497">
            <v>0</v>
          </cell>
          <cell r="K497">
            <v>0</v>
          </cell>
          <cell r="L497">
            <v>0</v>
          </cell>
          <cell r="M497">
            <v>0</v>
          </cell>
          <cell r="N497">
            <v>0</v>
          </cell>
          <cell r="O497">
            <v>0</v>
          </cell>
          <cell r="P497">
            <v>0</v>
          </cell>
          <cell r="Q497">
            <v>0</v>
          </cell>
          <cell r="R497">
            <v>0</v>
          </cell>
          <cell r="S497">
            <v>0</v>
          </cell>
          <cell r="T497">
            <v>0</v>
          </cell>
          <cell r="U497">
            <v>0</v>
          </cell>
          <cell r="V497">
            <v>0</v>
          </cell>
          <cell r="W497">
            <v>0</v>
          </cell>
          <cell r="X497">
            <v>2907125.0559400003</v>
          </cell>
          <cell r="Y497">
            <v>0</v>
          </cell>
          <cell r="Z497">
            <v>0</v>
          </cell>
          <cell r="AA497">
            <v>0</v>
          </cell>
          <cell r="AB497">
            <v>1339589.17985</v>
          </cell>
          <cell r="AC497">
            <v>661045.44835999992</v>
          </cell>
          <cell r="AD497">
            <v>862723.46403000003</v>
          </cell>
          <cell r="AE497">
            <v>701994.05615999992</v>
          </cell>
          <cell r="AF497">
            <v>1428320.2785400001</v>
          </cell>
          <cell r="AG497">
            <v>2290602.0181500004</v>
          </cell>
          <cell r="AH497">
            <v>736669.56587000005</v>
          </cell>
          <cell r="AI497">
            <v>2816846.9193999995</v>
          </cell>
        </row>
        <row r="498">
          <cell r="A498" t="str">
            <v>BelStatsskuldsförb</v>
          </cell>
          <cell r="C498" t="str">
            <v>Belåningsbara statsskuldsförbindelser</v>
          </cell>
          <cell r="D498">
            <v>164615.897</v>
          </cell>
          <cell r="E498">
            <v>164673.397</v>
          </cell>
          <cell r="F498">
            <v>159798.03400000001</v>
          </cell>
          <cell r="G498">
            <v>209919.179</v>
          </cell>
          <cell r="H498">
            <v>0</v>
          </cell>
          <cell r="I498">
            <v>0</v>
          </cell>
          <cell r="J498">
            <v>0</v>
          </cell>
          <cell r="K498">
            <v>0</v>
          </cell>
          <cell r="L498">
            <v>250076.33900000001</v>
          </cell>
          <cell r="M498">
            <v>0</v>
          </cell>
          <cell r="N498">
            <v>0</v>
          </cell>
          <cell r="O498">
            <v>0</v>
          </cell>
          <cell r="P498">
            <v>0</v>
          </cell>
          <cell r="Q498">
            <v>0</v>
          </cell>
          <cell r="R498">
            <v>0</v>
          </cell>
          <cell r="S498">
            <v>0</v>
          </cell>
          <cell r="T498">
            <v>0</v>
          </cell>
          <cell r="U498">
            <v>0</v>
          </cell>
          <cell r="V498">
            <v>0</v>
          </cell>
          <cell r="W498">
            <v>0</v>
          </cell>
          <cell r="X498">
            <v>0</v>
          </cell>
          <cell r="Y498">
            <v>0</v>
          </cell>
          <cell r="Z498">
            <v>0</v>
          </cell>
          <cell r="AA498">
            <v>0</v>
          </cell>
          <cell r="AB498">
            <v>0</v>
          </cell>
          <cell r="AC498">
            <v>7936000</v>
          </cell>
          <cell r="AD498">
            <v>1929000</v>
          </cell>
          <cell r="AE498">
            <v>1087000</v>
          </cell>
          <cell r="AF498">
            <v>245000</v>
          </cell>
          <cell r="AG498">
            <v>1521000</v>
          </cell>
          <cell r="AH498">
            <v>1428000</v>
          </cell>
          <cell r="AI498">
            <v>2129000</v>
          </cell>
        </row>
        <row r="499">
          <cell r="A499" t="str">
            <v>UtlKredit</v>
          </cell>
          <cell r="C499" t="str">
            <v>Utlåning till kreditinstitut</v>
          </cell>
          <cell r="D499">
            <v>9079447.6319999993</v>
          </cell>
          <cell r="E499">
            <v>9085452.2630000003</v>
          </cell>
          <cell r="F499">
            <v>8991992.254999999</v>
          </cell>
          <cell r="G499">
            <v>8388763.1409999989</v>
          </cell>
          <cell r="H499">
            <v>4534844.8020000001</v>
          </cell>
          <cell r="I499">
            <v>4841671.9879999999</v>
          </cell>
          <cell r="J499">
            <v>7577740.3346799994</v>
          </cell>
          <cell r="K499">
            <v>5629228.58452</v>
          </cell>
          <cell r="L499">
            <v>1701391.496</v>
          </cell>
          <cell r="M499">
            <v>2781522.0480000004</v>
          </cell>
          <cell r="N499">
            <v>4245053.6239999998</v>
          </cell>
          <cell r="O499">
            <v>1946466.9680000003</v>
          </cell>
          <cell r="P499">
            <v>1582561.656</v>
          </cell>
          <cell r="Q499">
            <v>2082820.1369999996</v>
          </cell>
          <cell r="R499">
            <v>1758674.0582900001</v>
          </cell>
          <cell r="S499">
            <v>1578653.4671899998</v>
          </cell>
          <cell r="T499">
            <v>1730891.7770499995</v>
          </cell>
          <cell r="U499">
            <v>2125431.1295500016</v>
          </cell>
          <cell r="V499">
            <v>1851899.3597299997</v>
          </cell>
          <cell r="W499">
            <v>2021458.2957399997</v>
          </cell>
          <cell r="X499">
            <v>913626.89361999894</v>
          </cell>
          <cell r="Y499">
            <v>2591638.2295099995</v>
          </cell>
          <cell r="Z499">
            <v>2239790.9542399985</v>
          </cell>
          <cell r="AA499">
            <v>2473623.294410001</v>
          </cell>
          <cell r="AB499">
            <v>1766404.9996000002</v>
          </cell>
          <cell r="AC499">
            <v>1694455.3760099998</v>
          </cell>
          <cell r="AD499">
            <v>1855110.8478700018</v>
          </cell>
          <cell r="AE499">
            <v>865226.51392999978</v>
          </cell>
          <cell r="AF499">
            <v>2271644.355380001</v>
          </cell>
          <cell r="AG499">
            <v>2735116.5214600004</v>
          </cell>
          <cell r="AH499">
            <v>2366357.7857600017</v>
          </cell>
          <cell r="AI499">
            <v>2421271.4470399986</v>
          </cell>
        </row>
        <row r="500">
          <cell r="A500" t="str">
            <v>UtlAllm</v>
          </cell>
          <cell r="C500" t="str">
            <v>Utlåning till allmänheten</v>
          </cell>
          <cell r="D500">
            <v>4205388.4850000003</v>
          </cell>
          <cell r="E500">
            <v>5180868.4450000003</v>
          </cell>
          <cell r="F500">
            <v>5675792.9840000002</v>
          </cell>
          <cell r="G500">
            <v>6158337.9620000003</v>
          </cell>
          <cell r="H500">
            <v>5348720.2429999998</v>
          </cell>
          <cell r="I500">
            <v>6352851.8899999997</v>
          </cell>
          <cell r="J500">
            <v>6539741.1840000004</v>
          </cell>
          <cell r="K500">
            <v>6837334.733</v>
          </cell>
          <cell r="L500">
            <v>6540212.1440000003</v>
          </cell>
          <cell r="M500">
            <v>7146708.0949999997</v>
          </cell>
          <cell r="N500">
            <v>7394797.1129999999</v>
          </cell>
          <cell r="O500">
            <v>8342560.7800000003</v>
          </cell>
          <cell r="P500">
            <v>8174617.9409999996</v>
          </cell>
          <cell r="Q500">
            <v>9324136.6170000006</v>
          </cell>
          <cell r="R500">
            <v>9557372.7579999994</v>
          </cell>
          <cell r="S500">
            <v>9916855.7929999996</v>
          </cell>
          <cell r="T500">
            <v>9506583.4354099985</v>
          </cell>
          <cell r="U500">
            <v>10415742.079190001</v>
          </cell>
          <cell r="V500">
            <v>10659929.459010001</v>
          </cell>
          <cell r="W500">
            <v>10987321.684430001</v>
          </cell>
          <cell r="X500">
            <v>10338638.569120001</v>
          </cell>
          <cell r="Y500">
            <v>11568089.177120002</v>
          </cell>
          <cell r="Z500">
            <v>12039590.768909998</v>
          </cell>
          <cell r="AA500">
            <v>12834863.887919998</v>
          </cell>
          <cell r="AB500">
            <v>13105745.265110003</v>
          </cell>
          <cell r="AC500">
            <v>13809020.403740002</v>
          </cell>
          <cell r="AD500">
            <v>15090331.963860001</v>
          </cell>
          <cell r="AE500">
            <v>16226472.481319997</v>
          </cell>
          <cell r="AF500">
            <v>16287090.21219</v>
          </cell>
          <cell r="AG500">
            <v>18326724.842359997</v>
          </cell>
          <cell r="AH500">
            <v>19704984.525590003</v>
          </cell>
          <cell r="AI500">
            <v>20753877.091049995</v>
          </cell>
        </row>
        <row r="501">
          <cell r="A501" t="str">
            <v>Obligationer</v>
          </cell>
          <cell r="C501" t="str">
            <v>Obligationer</v>
          </cell>
          <cell r="D501">
            <v>0</v>
          </cell>
          <cell r="E501">
            <v>0</v>
          </cell>
          <cell r="F501">
            <v>0</v>
          </cell>
          <cell r="G501">
            <v>0</v>
          </cell>
          <cell r="H501">
            <v>6069939</v>
          </cell>
          <cell r="I501">
            <v>8506447.8530000001</v>
          </cell>
          <cell r="J501">
            <v>10886024.859999999</v>
          </cell>
          <cell r="K501">
            <v>12359790.607000001</v>
          </cell>
          <cell r="L501">
            <v>11850217.994999999</v>
          </cell>
          <cell r="M501">
            <v>12992172.329</v>
          </cell>
          <cell r="N501">
            <v>13831501.244999999</v>
          </cell>
          <cell r="O501">
            <v>13539512.354</v>
          </cell>
          <cell r="P501">
            <v>13243603.893999999</v>
          </cell>
          <cell r="Q501">
            <v>12460444.806</v>
          </cell>
          <cell r="R501">
            <v>13792440.202</v>
          </cell>
          <cell r="S501">
            <v>15133588.873</v>
          </cell>
          <cell r="T501">
            <v>14419617.06453</v>
          </cell>
          <cell r="U501">
            <v>15118797.6</v>
          </cell>
          <cell r="V501">
            <v>15361783.120000001</v>
          </cell>
          <cell r="W501">
            <v>17151792.300000001</v>
          </cell>
          <cell r="X501">
            <v>16957672.809999999</v>
          </cell>
          <cell r="Y501">
            <v>19547070.52</v>
          </cell>
          <cell r="Z501">
            <v>20742776.170000002</v>
          </cell>
          <cell r="AA501">
            <v>20237589.400000002</v>
          </cell>
          <cell r="AB501">
            <v>19782242.330000002</v>
          </cell>
          <cell r="AC501">
            <v>24788644.160000004</v>
          </cell>
          <cell r="AD501">
            <v>25662186.27</v>
          </cell>
          <cell r="AE501">
            <v>25631012.49653</v>
          </cell>
          <cell r="AF501">
            <v>25571904.59753</v>
          </cell>
          <cell r="AG501">
            <v>25086573.313529998</v>
          </cell>
          <cell r="AH501">
            <v>24417372.29668</v>
          </cell>
          <cell r="AI501">
            <v>26360879.258680001</v>
          </cell>
        </row>
        <row r="502">
          <cell r="A502" t="str">
            <v>AktierOchAndelar</v>
          </cell>
          <cell r="C502" t="str">
            <v>Aktier och andelar</v>
          </cell>
          <cell r="D502">
            <v>25.456</v>
          </cell>
          <cell r="E502">
            <v>369.55</v>
          </cell>
          <cell r="F502">
            <v>5639.6540000000005</v>
          </cell>
          <cell r="G502">
            <v>257.40899999999999</v>
          </cell>
          <cell r="H502">
            <v>34394.137000000002</v>
          </cell>
          <cell r="I502">
            <v>83.998000000000005</v>
          </cell>
          <cell r="J502">
            <v>234.59200000000001</v>
          </cell>
          <cell r="K502">
            <v>1351.8630000000001</v>
          </cell>
          <cell r="L502">
            <v>498.69200000000001</v>
          </cell>
          <cell r="M502">
            <v>503.46800000000002</v>
          </cell>
          <cell r="N502">
            <v>3979.5630000000001</v>
          </cell>
          <cell r="O502">
            <v>5603.6940000000004</v>
          </cell>
          <cell r="P502">
            <v>5400.701</v>
          </cell>
          <cell r="Q502">
            <v>10727.631000000001</v>
          </cell>
          <cell r="R502">
            <v>18251.41</v>
          </cell>
          <cell r="S502">
            <v>18305.884999999998</v>
          </cell>
          <cell r="T502">
            <v>22399.481</v>
          </cell>
          <cell r="U502">
            <v>31341.940989999999</v>
          </cell>
          <cell r="V502">
            <v>32145.608990000001</v>
          </cell>
          <cell r="W502">
            <v>37419.685989999998</v>
          </cell>
          <cell r="X502">
            <v>522.85599000000002</v>
          </cell>
          <cell r="Y502">
            <v>340.80898999999999</v>
          </cell>
          <cell r="Z502">
            <v>1034.10599</v>
          </cell>
          <cell r="AA502">
            <v>1629.7559900000001</v>
          </cell>
          <cell r="AB502">
            <v>85.84499000000001</v>
          </cell>
          <cell r="AC502">
            <v>251.31898999999999</v>
          </cell>
          <cell r="AD502">
            <v>75.84799000000001</v>
          </cell>
          <cell r="AE502">
            <v>8.3069900000000008</v>
          </cell>
          <cell r="AF502">
            <v>244067.23899000001</v>
          </cell>
          <cell r="AG502">
            <v>237360.29899000001</v>
          </cell>
          <cell r="AH502">
            <v>238546.27999000001</v>
          </cell>
          <cell r="AI502">
            <v>237045.08670000001</v>
          </cell>
        </row>
        <row r="503">
          <cell r="A503" t="str">
            <v>AktierIntresssebolag</v>
          </cell>
          <cell r="C503" t="str">
            <v>Aktier och andelar i intresseföretag</v>
          </cell>
          <cell r="X503">
            <v>115874.34600000001</v>
          </cell>
          <cell r="Y503">
            <v>113609.3</v>
          </cell>
          <cell r="Z503">
            <v>111114.70699999999</v>
          </cell>
          <cell r="AA503">
            <v>109473.93400000001</v>
          </cell>
          <cell r="AB503">
            <v>107632.599</v>
          </cell>
          <cell r="AC503">
            <v>105239.50200000001</v>
          </cell>
          <cell r="AD503">
            <v>103144.265</v>
          </cell>
          <cell r="AE503">
            <v>101804.348</v>
          </cell>
          <cell r="AF503">
            <v>0.19999999999890861</v>
          </cell>
          <cell r="AG503">
            <v>0</v>
          </cell>
          <cell r="AH503">
            <v>0</v>
          </cell>
          <cell r="AI503">
            <v>0</v>
          </cell>
        </row>
        <row r="504">
          <cell r="C504" t="str">
            <v>Aktier och andelar i koncernföretag</v>
          </cell>
        </row>
        <row r="505">
          <cell r="A505" t="str">
            <v>TillgFörsäkring</v>
          </cell>
          <cell r="C505" t="str">
            <v>Tillgångar i försäkringsrörelsen</v>
          </cell>
          <cell r="D505">
            <v>42575831.149999999</v>
          </cell>
          <cell r="E505">
            <v>45936626.427000001</v>
          </cell>
          <cell r="F505">
            <v>49243654.300999999</v>
          </cell>
          <cell r="G505">
            <v>50192553.556000002</v>
          </cell>
          <cell r="H505">
            <v>50898376.564999998</v>
          </cell>
          <cell r="I505">
            <v>60265003.603</v>
          </cell>
          <cell r="J505">
            <v>61030716.417999998</v>
          </cell>
          <cell r="K505">
            <v>61011482.527999997</v>
          </cell>
          <cell r="L505">
            <v>66565929.232000001</v>
          </cell>
          <cell r="M505">
            <v>65828695.740000002</v>
          </cell>
          <cell r="N505">
            <v>67489859.017000005</v>
          </cell>
          <cell r="O505">
            <v>75439297.292999998</v>
          </cell>
          <cell r="P505">
            <v>75934175.174999997</v>
          </cell>
          <cell r="Q505">
            <v>81058927.562999994</v>
          </cell>
          <cell r="R505">
            <v>84884217.309</v>
          </cell>
          <cell r="S505">
            <v>87474476.625</v>
          </cell>
          <cell r="T505">
            <v>86040888.272119999</v>
          </cell>
          <cell r="U505">
            <v>87891475.214519992</v>
          </cell>
          <cell r="V505">
            <v>93071153.615030006</v>
          </cell>
          <cell r="W505">
            <v>99290752.733349994</v>
          </cell>
          <cell r="X505">
            <v>86456920.746040002</v>
          </cell>
          <cell r="Y505">
            <v>98062737.74947001</v>
          </cell>
          <cell r="Z505">
            <v>105164991.59426999</v>
          </cell>
          <cell r="AA505">
            <v>109777437.97107999</v>
          </cell>
          <cell r="AB505">
            <v>116368897.62906</v>
          </cell>
          <cell r="AC505">
            <v>104182868.67233001</v>
          </cell>
          <cell r="AD505">
            <v>124618521.77447</v>
          </cell>
          <cell r="AE505">
            <v>143310256.45637</v>
          </cell>
          <cell r="AF505">
            <v>155931335.37410998</v>
          </cell>
          <cell r="AG505">
            <v>179686299.46769997</v>
          </cell>
          <cell r="AH505">
            <v>197905281.72112998</v>
          </cell>
          <cell r="AI505">
            <v>202476431.14947999</v>
          </cell>
        </row>
        <row r="506">
          <cell r="A506" t="str">
            <v>ImmAnläggningsti</v>
          </cell>
          <cell r="C506" t="str">
            <v>Immateriella anläggningstillgångar</v>
          </cell>
          <cell r="D506">
            <v>22545.000650000027</v>
          </cell>
          <cell r="E506">
            <v>22544.999650000012</v>
          </cell>
          <cell r="F506">
            <v>23143.289649999992</v>
          </cell>
          <cell r="G506">
            <v>23935.945650000009</v>
          </cell>
          <cell r="H506">
            <v>25991.102650000015</v>
          </cell>
          <cell r="I506">
            <v>28006.939999999944</v>
          </cell>
          <cell r="J506">
            <v>30663.122639999958</v>
          </cell>
          <cell r="K506">
            <v>34830.076639999985</v>
          </cell>
          <cell r="L506">
            <v>37516.896999999939</v>
          </cell>
          <cell r="M506">
            <v>43675.320999999996</v>
          </cell>
          <cell r="N506">
            <v>47520.595000000001</v>
          </cell>
          <cell r="O506">
            <v>50297.139000000025</v>
          </cell>
          <cell r="P506">
            <v>62006.411000000022</v>
          </cell>
          <cell r="Q506">
            <v>65551.107000000018</v>
          </cell>
          <cell r="R506">
            <v>76678.891999999993</v>
          </cell>
          <cell r="S506">
            <v>80738.953000000009</v>
          </cell>
          <cell r="T506">
            <v>88190.679229999951</v>
          </cell>
          <cell r="U506">
            <v>90220.884979999973</v>
          </cell>
          <cell r="V506">
            <v>88177.022239999904</v>
          </cell>
          <cell r="W506">
            <v>86140.633619999979</v>
          </cell>
          <cell r="X506">
            <v>84104.244969999942</v>
          </cell>
          <cell r="Y506">
            <v>82067.856319999963</v>
          </cell>
          <cell r="Z506">
            <v>80031.467650000006</v>
          </cell>
          <cell r="AA506">
            <v>77995.07892999996</v>
          </cell>
          <cell r="AB506">
            <v>75958.690249999985</v>
          </cell>
          <cell r="AC506">
            <v>73922.301550000033</v>
          </cell>
          <cell r="AD506">
            <v>73273.443900000013</v>
          </cell>
          <cell r="AE506">
            <v>75306.964210000006</v>
          </cell>
          <cell r="AF506">
            <v>81696.882099999988</v>
          </cell>
          <cell r="AG506">
            <v>94377.58567999996</v>
          </cell>
          <cell r="AH506">
            <v>117337.1838</v>
          </cell>
          <cell r="AI506">
            <v>140224.45887000009</v>
          </cell>
        </row>
        <row r="507">
          <cell r="A507" t="str">
            <v>NyttjTillg</v>
          </cell>
          <cell r="C507" t="str">
            <v>Nyttjanderättstillgångar</v>
          </cell>
          <cell r="Y507">
            <v>107176.768</v>
          </cell>
          <cell r="Z507">
            <v>98921.903000000006</v>
          </cell>
          <cell r="AA507">
            <v>88889.44</v>
          </cell>
          <cell r="AB507">
            <v>75740.743000000017</v>
          </cell>
          <cell r="AC507">
            <v>67303.783000000025</v>
          </cell>
          <cell r="AD507">
            <v>191412.65100000001</v>
          </cell>
          <cell r="AE507">
            <v>181587.26</v>
          </cell>
          <cell r="AF507">
            <v>152553.06399999998</v>
          </cell>
          <cell r="AG507">
            <v>147135.60500000001</v>
          </cell>
          <cell r="AH507">
            <v>138015.48300000001</v>
          </cell>
          <cell r="AI507">
            <v>128895.36109000001</v>
          </cell>
        </row>
        <row r="508">
          <cell r="A508" t="str">
            <v>MatAnläggningsti</v>
          </cell>
          <cell r="C508" t="str">
            <v>Materiella anläggningstillgångar</v>
          </cell>
          <cell r="D508">
            <v>10752.402359999995</v>
          </cell>
          <cell r="E508">
            <v>10627.210029999998</v>
          </cell>
          <cell r="F508">
            <v>11912.859359999995</v>
          </cell>
          <cell r="G508">
            <v>11302.227359999999</v>
          </cell>
          <cell r="H508">
            <v>11805.670359999996</v>
          </cell>
          <cell r="I508">
            <v>13552.669739999994</v>
          </cell>
          <cell r="J508">
            <v>16306.333960000002</v>
          </cell>
          <cell r="K508">
            <v>16502.086800000005</v>
          </cell>
          <cell r="L508">
            <v>20000.374590000007</v>
          </cell>
          <cell r="M508">
            <v>17854.574739999996</v>
          </cell>
          <cell r="N508">
            <v>17811.194739999995</v>
          </cell>
          <cell r="O508">
            <v>16902.281740000009</v>
          </cell>
          <cell r="P508">
            <v>18100.152740000001</v>
          </cell>
          <cell r="Q508">
            <v>19586.353999999988</v>
          </cell>
          <cell r="R508">
            <v>25499.789000000019</v>
          </cell>
          <cell r="S508">
            <v>24784.874000000011</v>
          </cell>
          <cell r="T508">
            <v>30015.134640000044</v>
          </cell>
          <cell r="U508">
            <v>33988.360780000025</v>
          </cell>
          <cell r="V508">
            <v>35690.877560000001</v>
          </cell>
          <cell r="W508">
            <v>36498.938430000053</v>
          </cell>
          <cell r="X508">
            <v>39874.776209999982</v>
          </cell>
          <cell r="Y508">
            <v>38141.770550000001</v>
          </cell>
          <cell r="Z508">
            <v>36697.238629999993</v>
          </cell>
          <cell r="AA508">
            <v>34561.420060000011</v>
          </cell>
          <cell r="AB508">
            <v>35388.433480000014</v>
          </cell>
          <cell r="AC508">
            <v>38260.194550000015</v>
          </cell>
          <cell r="AD508">
            <v>57491.754409999965</v>
          </cell>
          <cell r="AE508">
            <v>60792.228290000006</v>
          </cell>
          <cell r="AF508">
            <v>64004.96427000004</v>
          </cell>
          <cell r="AG508">
            <v>62392.068280000036</v>
          </cell>
          <cell r="AH508">
            <v>63930.980180000028</v>
          </cell>
          <cell r="AI508">
            <v>64682.088800000049</v>
          </cell>
        </row>
        <row r="509">
          <cell r="A509" t="str">
            <v>ÖvrTillg</v>
          </cell>
          <cell r="C509" t="str">
            <v>Övriga tillgångar</v>
          </cell>
          <cell r="D509">
            <v>509163.58153999993</v>
          </cell>
          <cell r="E509">
            <v>462842.53200000012</v>
          </cell>
          <cell r="F509">
            <v>243615.53900000005</v>
          </cell>
          <cell r="G509">
            <v>186300.19400000005</v>
          </cell>
          <cell r="H509">
            <v>207044.18599999987</v>
          </cell>
          <cell r="I509">
            <v>258733.06800000012</v>
          </cell>
          <cell r="J509">
            <v>377633.11900000006</v>
          </cell>
          <cell r="K509">
            <v>518300.63200000004</v>
          </cell>
          <cell r="L509">
            <v>1542476.726999999</v>
          </cell>
          <cell r="M509">
            <v>1455432.9689999998</v>
          </cell>
          <cell r="N509">
            <v>947043.54000000027</v>
          </cell>
          <cell r="O509">
            <v>1116663.0359999996</v>
          </cell>
          <cell r="P509">
            <v>1431596.7329999995</v>
          </cell>
          <cell r="Q509">
            <v>2014433.5520000001</v>
          </cell>
          <cell r="R509">
            <v>2586753.5949999997</v>
          </cell>
          <cell r="S509">
            <v>3079529.4789999994</v>
          </cell>
          <cell r="T509">
            <v>4113075.0279100016</v>
          </cell>
          <cell r="U509">
            <v>4119432.4172599996</v>
          </cell>
          <cell r="V509">
            <v>4659898.8696600003</v>
          </cell>
          <cell r="W509">
            <v>4179509.8490100005</v>
          </cell>
          <cell r="X509">
            <v>4103562.170119999</v>
          </cell>
          <cell r="Y509">
            <v>3957242.2102899994</v>
          </cell>
          <cell r="Z509">
            <v>3999875.3642800003</v>
          </cell>
          <cell r="AA509">
            <v>4010563.0610500006</v>
          </cell>
          <cell r="AB509">
            <v>3021922.4982600003</v>
          </cell>
          <cell r="AC509">
            <v>5408868.1408099998</v>
          </cell>
          <cell r="AD509">
            <v>3386757.5317400009</v>
          </cell>
          <cell r="AE509">
            <v>3218782.9611999998</v>
          </cell>
          <cell r="AF509">
            <v>2153322.0509000001</v>
          </cell>
          <cell r="AG509">
            <v>3582888.5808199989</v>
          </cell>
          <cell r="AH509">
            <v>4970874.4247199986</v>
          </cell>
          <cell r="AI509">
            <v>5357237.689770001</v>
          </cell>
        </row>
        <row r="510">
          <cell r="A510" t="str">
            <v>FörutbetKostn</v>
          </cell>
          <cell r="C510" t="str">
            <v>Förutbetalda kostnader och upplupna intäkter</v>
          </cell>
          <cell r="D510">
            <v>88538.213000000003</v>
          </cell>
          <cell r="E510">
            <v>49457.234000000004</v>
          </cell>
          <cell r="F510">
            <v>51639.106000000007</v>
          </cell>
          <cell r="G510">
            <v>52706.671999999999</v>
          </cell>
          <cell r="H510">
            <v>165269.79900000003</v>
          </cell>
          <cell r="I510">
            <v>106228.86700000001</v>
          </cell>
          <cell r="J510">
            <v>88470.542000000001</v>
          </cell>
          <cell r="K510">
            <v>106825.05675</v>
          </cell>
          <cell r="L510">
            <v>113175.67000000001</v>
          </cell>
          <cell r="M510">
            <v>73207.387000000002</v>
          </cell>
          <cell r="N510">
            <v>92677.395999999993</v>
          </cell>
          <cell r="O510">
            <v>87541.463000000003</v>
          </cell>
          <cell r="P510">
            <v>164058.06899999999</v>
          </cell>
          <cell r="Q510">
            <v>85558.403000000006</v>
          </cell>
          <cell r="R510">
            <v>101824.56530000002</v>
          </cell>
          <cell r="S510">
            <v>108198.8262</v>
          </cell>
          <cell r="T510">
            <v>168398.874923116</v>
          </cell>
          <cell r="U510">
            <v>117100.65612370006</v>
          </cell>
          <cell r="V510">
            <v>132256.11838002608</v>
          </cell>
          <cell r="W510">
            <v>149519.05152868805</v>
          </cell>
          <cell r="X510">
            <v>220512.47377273304</v>
          </cell>
          <cell r="Y510">
            <v>145968.11469352606</v>
          </cell>
          <cell r="Z510">
            <v>157153.69526187211</v>
          </cell>
          <cell r="AA510">
            <v>169662.09536445205</v>
          </cell>
          <cell r="AB510">
            <v>262129.74298629406</v>
          </cell>
          <cell r="AC510">
            <v>245594.73950113603</v>
          </cell>
          <cell r="AD510">
            <v>185815.56641021106</v>
          </cell>
          <cell r="AE510">
            <v>217609.73554615001</v>
          </cell>
          <cell r="AF510">
            <v>344186.58055443107</v>
          </cell>
          <cell r="AG510">
            <v>251626.80469955498</v>
          </cell>
          <cell r="AH510">
            <v>269931.49134199804</v>
          </cell>
          <cell r="AI510">
            <v>294268.5489892739</v>
          </cell>
        </row>
        <row r="511">
          <cell r="A511" t="str">
            <v>SummaTillg</v>
          </cell>
          <cell r="C511" t="str">
            <v>Summa tillgångar</v>
          </cell>
          <cell r="D511">
            <v>56656307.817550004</v>
          </cell>
          <cell r="E511">
            <v>60913462.057679996</v>
          </cell>
          <cell r="F511">
            <v>64407188.022009999</v>
          </cell>
          <cell r="G511">
            <v>65224076.286009997</v>
          </cell>
          <cell r="H511">
            <v>67296385.505009994</v>
          </cell>
          <cell r="I511">
            <v>80372580.876740009</v>
          </cell>
          <cell r="J511">
            <v>86547530.50627999</v>
          </cell>
          <cell r="K511">
            <v>86515646.167709991</v>
          </cell>
          <cell r="L511">
            <v>88621495.566589996</v>
          </cell>
          <cell r="M511">
            <v>90339771.931739986</v>
          </cell>
          <cell r="N511">
            <v>94070243.287740007</v>
          </cell>
          <cell r="O511">
            <v>100544845.00873998</v>
          </cell>
          <cell r="P511">
            <v>100616120.73274</v>
          </cell>
          <cell r="Q511">
            <v>107122186.16999999</v>
          </cell>
          <cell r="R511">
            <v>112801712.57859001</v>
          </cell>
          <cell r="S511">
            <v>117415132.77538998</v>
          </cell>
          <cell r="T511">
            <v>116120059.74681312</v>
          </cell>
          <cell r="U511">
            <v>119943530.2833937</v>
          </cell>
          <cell r="V511">
            <v>125892934.05060004</v>
          </cell>
          <cell r="W511">
            <v>133940413.17209868</v>
          </cell>
          <cell r="X511">
            <v>122138434.94178273</v>
          </cell>
          <cell r="Y511">
            <v>136214082.50494352</v>
          </cell>
          <cell r="Z511">
            <v>144671977.96923187</v>
          </cell>
          <cell r="AA511">
            <v>149816289.33880442</v>
          </cell>
          <cell r="AB511">
            <v>155941737.95558628</v>
          </cell>
          <cell r="AC511">
            <v>159011474.04084116</v>
          </cell>
          <cell r="AD511">
            <v>174015846.3806802</v>
          </cell>
          <cell r="AE511">
            <v>191677853.80854613</v>
          </cell>
          <cell r="AF511">
            <v>204775125.7985644</v>
          </cell>
          <cell r="AG511">
            <v>234022097.10666952</v>
          </cell>
          <cell r="AH511">
            <v>252357301.73806199</v>
          </cell>
          <cell r="AI511">
            <v>263180659.09986928</v>
          </cell>
        </row>
        <row r="513">
          <cell r="C513" t="str">
            <v>Skulder och eget kapital</v>
          </cell>
        </row>
        <row r="514">
          <cell r="A514" t="str">
            <v>InlAllm</v>
          </cell>
          <cell r="C514" t="str">
            <v>Inlåning från allmänheten</v>
          </cell>
          <cell r="D514">
            <v>13004973.994999999</v>
          </cell>
          <cell r="E514">
            <v>13381604.446</v>
          </cell>
          <cell r="F514">
            <v>14030211.607000001</v>
          </cell>
          <cell r="G514">
            <v>13810046.338</v>
          </cell>
          <cell r="H514">
            <v>15038170.726</v>
          </cell>
          <cell r="I514">
            <v>18644007.855999999</v>
          </cell>
          <cell r="J514">
            <v>23648096.552999999</v>
          </cell>
          <cell r="K514">
            <v>23987808.083999999</v>
          </cell>
          <cell r="L514">
            <v>20446344.094000001</v>
          </cell>
          <cell r="M514">
            <v>22647936.322999999</v>
          </cell>
          <cell r="N514">
            <v>24864335.903999999</v>
          </cell>
          <cell r="O514">
            <v>23363738.673</v>
          </cell>
          <cell r="P514">
            <v>22832432.910999998</v>
          </cell>
          <cell r="Q514">
            <v>24354466.598000001</v>
          </cell>
          <cell r="R514">
            <v>25956489.464000002</v>
          </cell>
          <cell r="S514">
            <v>27902692.113000002</v>
          </cell>
          <cell r="T514">
            <v>27901245.880939998</v>
          </cell>
          <cell r="U514">
            <v>30080349.06442</v>
          </cell>
          <cell r="V514">
            <v>29793443.165550001</v>
          </cell>
          <cell r="W514">
            <v>32243057.001210004</v>
          </cell>
          <cell r="X514">
            <v>33317043.406440001</v>
          </cell>
          <cell r="Y514">
            <v>35128372.431370005</v>
          </cell>
          <cell r="Z514">
            <v>37009436.594920002</v>
          </cell>
          <cell r="AA514">
            <v>37256314.845619999</v>
          </cell>
          <cell r="AB514">
            <v>36399530.376689985</v>
          </cell>
          <cell r="AC514">
            <v>51593160.435070001</v>
          </cell>
          <cell r="AD514">
            <v>45265014.805909999</v>
          </cell>
          <cell r="AE514">
            <v>44420533.888080001</v>
          </cell>
          <cell r="AF514">
            <v>43986832.895340003</v>
          </cell>
          <cell r="AG514">
            <v>48764587.119110011</v>
          </cell>
          <cell r="AH514">
            <v>48367826.80523999</v>
          </cell>
          <cell r="AI514">
            <v>54213780.669940002</v>
          </cell>
        </row>
        <row r="515">
          <cell r="A515" t="str">
            <v>SkuldFörsäkring</v>
          </cell>
          <cell r="C515" t="str">
            <v>Skulder i försäkringsrörelsen</v>
          </cell>
          <cell r="D515">
            <v>42575831.149999999</v>
          </cell>
          <cell r="E515">
            <v>45936626.427000001</v>
          </cell>
          <cell r="F515">
            <v>49243654.300999999</v>
          </cell>
          <cell r="G515">
            <v>50192553.556000002</v>
          </cell>
          <cell r="H515">
            <v>50898376.564999998</v>
          </cell>
          <cell r="I515">
            <v>60265003.604999997</v>
          </cell>
          <cell r="J515">
            <v>61030716.417999998</v>
          </cell>
          <cell r="K515">
            <v>61011482.527999997</v>
          </cell>
          <cell r="L515">
            <v>66565929.232000001</v>
          </cell>
          <cell r="M515">
            <v>65828695.740000002</v>
          </cell>
          <cell r="N515">
            <v>67489859.017000005</v>
          </cell>
          <cell r="O515">
            <v>75439297.292999998</v>
          </cell>
          <cell r="P515">
            <v>75934175.174999997</v>
          </cell>
          <cell r="Q515">
            <v>81058927.562999994</v>
          </cell>
          <cell r="R515">
            <v>84884217.309</v>
          </cell>
          <cell r="S515">
            <v>87474476.625</v>
          </cell>
          <cell r="T515">
            <v>86040888.27211</v>
          </cell>
          <cell r="U515">
            <v>87891475.214509994</v>
          </cell>
          <cell r="V515">
            <v>93071153.615020007</v>
          </cell>
          <cell r="W515">
            <v>99290752.733339995</v>
          </cell>
          <cell r="X515">
            <v>86457895.041690007</v>
          </cell>
          <cell r="Y515">
            <v>98063712.045120001</v>
          </cell>
          <cell r="Z515">
            <v>105165965.88992</v>
          </cell>
          <cell r="AA515">
            <v>109778443.30351</v>
          </cell>
          <cell r="AB515">
            <v>116369977.48948</v>
          </cell>
          <cell r="AC515">
            <v>104183957.23969001</v>
          </cell>
          <cell r="AD515">
            <v>124619633.32902001</v>
          </cell>
          <cell r="AE515">
            <v>143311545.80179998</v>
          </cell>
          <cell r="AF515">
            <v>155932762.45195001</v>
          </cell>
          <cell r="AG515">
            <v>179687877.84298003</v>
          </cell>
          <cell r="AH515">
            <v>197907072.84714001</v>
          </cell>
          <cell r="AI515">
            <v>202478394.75676998</v>
          </cell>
        </row>
        <row r="516">
          <cell r="A516" t="str">
            <v>LeasSkulder</v>
          </cell>
          <cell r="C516" t="str">
            <v>Leasingskulder</v>
          </cell>
          <cell r="Y516">
            <v>108141.239</v>
          </cell>
          <cell r="Z516">
            <v>100336.599</v>
          </cell>
          <cell r="AA516">
            <v>90639.59599999999</v>
          </cell>
          <cell r="AB516">
            <v>85508.496000000014</v>
          </cell>
          <cell r="AC516">
            <v>77253.083000000013</v>
          </cell>
          <cell r="AD516">
            <v>193340.774</v>
          </cell>
          <cell r="AE516">
            <v>183506.37299999999</v>
          </cell>
          <cell r="AF516">
            <v>170952.07800000001</v>
          </cell>
          <cell r="AG516">
            <v>149178.67600000001</v>
          </cell>
          <cell r="AH516">
            <v>140313.973</v>
          </cell>
          <cell r="AI516">
            <v>131405.2746</v>
          </cell>
        </row>
        <row r="517">
          <cell r="A517" t="str">
            <v>ÖvrSkulder</v>
          </cell>
          <cell r="C517" t="str">
            <v>Övriga skulder</v>
          </cell>
          <cell r="D517">
            <v>186760.61300000001</v>
          </cell>
          <cell r="E517">
            <v>650631.63500000001</v>
          </cell>
          <cell r="F517">
            <v>359795.32199999999</v>
          </cell>
          <cell r="G517">
            <v>381786.54499999987</v>
          </cell>
          <cell r="H517">
            <v>454046.7370000002</v>
          </cell>
          <cell r="I517">
            <v>674558.74700000009</v>
          </cell>
          <cell r="J517">
            <v>877036.49999999977</v>
          </cell>
          <cell r="K517">
            <v>432345.46000000014</v>
          </cell>
          <cell r="L517">
            <v>291688.04500000016</v>
          </cell>
          <cell r="M517">
            <v>454701.39199999988</v>
          </cell>
          <cell r="N517">
            <v>428441.3980000001</v>
          </cell>
          <cell r="O517">
            <v>349987.16500000004</v>
          </cell>
          <cell r="P517">
            <v>353449.85299999989</v>
          </cell>
          <cell r="Q517">
            <v>424121.04499999998</v>
          </cell>
          <cell r="R517">
            <v>575296.77766999986</v>
          </cell>
          <cell r="S517">
            <v>503705.90361999988</v>
          </cell>
          <cell r="T517">
            <v>544309.13927100017</v>
          </cell>
          <cell r="U517">
            <v>514070.77531100012</v>
          </cell>
          <cell r="V517">
            <v>1480508.0567199998</v>
          </cell>
          <cell r="W517">
            <v>642726.45832999994</v>
          </cell>
          <cell r="X517">
            <v>507554.24270999979</v>
          </cell>
          <cell r="Y517">
            <v>1255581.97994</v>
          </cell>
          <cell r="Z517">
            <v>656273.41130000004</v>
          </cell>
          <cell r="AA517">
            <v>654136.58499</v>
          </cell>
          <cell r="AB517">
            <v>945018.2788599995</v>
          </cell>
          <cell r="AC517">
            <v>1101964.6674999974</v>
          </cell>
          <cell r="AD517">
            <v>1533147.3722399995</v>
          </cell>
          <cell r="AE517">
            <v>917400.67040999979</v>
          </cell>
          <cell r="AF517">
            <v>1379821.2769300004</v>
          </cell>
          <cell r="AG517">
            <v>1600966.6642499999</v>
          </cell>
          <cell r="AH517">
            <v>1652665.0662699994</v>
          </cell>
          <cell r="AI517">
            <v>1521941.5791099998</v>
          </cell>
        </row>
        <row r="518">
          <cell r="A518" t="str">
            <v>UpplKostn</v>
          </cell>
          <cell r="C518" t="str">
            <v>Upplupna kostnader och förutbetalda intäkter</v>
          </cell>
          <cell r="D518">
            <v>77680.486000000004</v>
          </cell>
          <cell r="E518">
            <v>68380.84199999999</v>
          </cell>
          <cell r="F518">
            <v>72838.784999999989</v>
          </cell>
          <cell r="G518">
            <v>75924.428999999989</v>
          </cell>
          <cell r="H518">
            <v>91066.222999999998</v>
          </cell>
          <cell r="I518">
            <v>77337.737000000008</v>
          </cell>
          <cell r="J518">
            <v>82831.979459999988</v>
          </cell>
          <cell r="K518">
            <v>76527.210950000008</v>
          </cell>
          <cell r="L518">
            <v>92491.232000000004</v>
          </cell>
          <cell r="M518">
            <v>85121.200000000012</v>
          </cell>
          <cell r="N518">
            <v>94978.837000000014</v>
          </cell>
          <cell r="O518">
            <v>86033.303000000014</v>
          </cell>
          <cell r="P518">
            <v>89142.293000000005</v>
          </cell>
          <cell r="Q518">
            <v>87797.43</v>
          </cell>
          <cell r="R518">
            <v>100231.57565000001</v>
          </cell>
          <cell r="S518">
            <v>105959.78271</v>
          </cell>
          <cell r="T518">
            <v>107216.59943000002</v>
          </cell>
          <cell r="U518">
            <v>109670.90622000002</v>
          </cell>
          <cell r="V518">
            <v>124777.75034</v>
          </cell>
          <cell r="W518">
            <v>126157.52117000001</v>
          </cell>
          <cell r="X518">
            <v>142029.01828000002</v>
          </cell>
          <cell r="Y518">
            <v>142664.67932999998</v>
          </cell>
          <cell r="Z518">
            <v>111224.75881</v>
          </cell>
          <cell r="AA518">
            <v>97720.052709999989</v>
          </cell>
          <cell r="AB518">
            <v>96572.927580000018</v>
          </cell>
          <cell r="AC518">
            <v>117761.07731000001</v>
          </cell>
          <cell r="AD518">
            <v>131957.75423000002</v>
          </cell>
          <cell r="AE518">
            <v>129357.19432999997</v>
          </cell>
          <cell r="AF518">
            <v>132607.35563666667</v>
          </cell>
          <cell r="AG518">
            <v>149586.98853999996</v>
          </cell>
          <cell r="AH518">
            <v>170376.53894999999</v>
          </cell>
          <cell r="AI518">
            <v>161827.99001000004</v>
          </cell>
        </row>
        <row r="519">
          <cell r="A519" t="str">
            <v>Avsättningar</v>
          </cell>
          <cell r="C519" t="str">
            <v>Avsättningar</v>
          </cell>
          <cell r="D519">
            <v>17281.153999999999</v>
          </cell>
          <cell r="E519">
            <v>17261.309999999998</v>
          </cell>
          <cell r="F519">
            <v>17261.309999999998</v>
          </cell>
          <cell r="G519">
            <v>17261.309999999998</v>
          </cell>
          <cell r="H519">
            <v>0</v>
          </cell>
          <cell r="I519">
            <v>0</v>
          </cell>
          <cell r="J519">
            <v>0</v>
          </cell>
          <cell r="K519">
            <v>0</v>
          </cell>
          <cell r="L519">
            <v>0</v>
          </cell>
          <cell r="M519">
            <v>0</v>
          </cell>
          <cell r="N519">
            <v>0</v>
          </cell>
          <cell r="O519">
            <v>0</v>
          </cell>
          <cell r="P519">
            <v>0</v>
          </cell>
          <cell r="Q519">
            <v>0</v>
          </cell>
          <cell r="R519">
            <v>0</v>
          </cell>
          <cell r="S519">
            <v>0</v>
          </cell>
          <cell r="T519">
            <v>0</v>
          </cell>
          <cell r="U519">
            <v>0</v>
          </cell>
          <cell r="V519">
            <v>0</v>
          </cell>
          <cell r="W519">
            <v>0</v>
          </cell>
          <cell r="X519">
            <v>0</v>
          </cell>
          <cell r="Y519">
            <v>0</v>
          </cell>
          <cell r="Z519">
            <v>0</v>
          </cell>
          <cell r="AA519">
            <v>0</v>
          </cell>
          <cell r="AB519">
            <v>0</v>
          </cell>
          <cell r="AC519">
            <v>0</v>
          </cell>
          <cell r="AD519">
            <v>0</v>
          </cell>
          <cell r="AE519">
            <v>0</v>
          </cell>
          <cell r="AF519">
            <v>0</v>
          </cell>
          <cell r="AG519">
            <v>0</v>
          </cell>
          <cell r="AH519">
            <v>0</v>
          </cell>
          <cell r="AI519">
            <v>0</v>
          </cell>
        </row>
        <row r="520">
          <cell r="A520" t="str">
            <v>EfterstSkulder</v>
          </cell>
          <cell r="C520" t="str">
            <v>Efterställda skulder</v>
          </cell>
          <cell r="D520">
            <v>0</v>
          </cell>
          <cell r="E520">
            <v>0</v>
          </cell>
          <cell r="F520">
            <v>0</v>
          </cell>
          <cell r="G520">
            <v>0</v>
          </cell>
          <cell r="H520">
            <v>0</v>
          </cell>
          <cell r="I520">
            <v>0</v>
          </cell>
          <cell r="J520">
            <v>0</v>
          </cell>
          <cell r="K520">
            <v>0</v>
          </cell>
          <cell r="L520">
            <v>99251.407999999996</v>
          </cell>
          <cell r="M520">
            <v>99289.471999999994</v>
          </cell>
          <cell r="N520">
            <v>99327.535999999993</v>
          </cell>
          <cell r="O520">
            <v>99152.245999999999</v>
          </cell>
          <cell r="P520">
            <v>99203.114000000001</v>
          </cell>
          <cell r="Q520">
            <v>99253.976999999999</v>
          </cell>
          <cell r="R520">
            <v>99304.842000000004</v>
          </cell>
          <cell r="S520">
            <v>99355.706999999995</v>
          </cell>
          <cell r="T520">
            <v>99406.572530000005</v>
          </cell>
          <cell r="U520">
            <v>99457.437739999994</v>
          </cell>
          <cell r="V520">
            <v>99508.302950000012</v>
          </cell>
          <cell r="W520">
            <v>99559.168160000001</v>
          </cell>
          <cell r="X520">
            <v>99610.033370000005</v>
          </cell>
          <cell r="Y520">
            <v>99660.898520000002</v>
          </cell>
          <cell r="Z520">
            <v>99711.763659999997</v>
          </cell>
          <cell r="AA520">
            <v>99762.62887</v>
          </cell>
          <cell r="AB520">
            <v>99813.494080000004</v>
          </cell>
          <cell r="AC520">
            <v>99864.359290000008</v>
          </cell>
          <cell r="AD520">
            <v>99915.224499999997</v>
          </cell>
          <cell r="AE520">
            <v>99966.08971</v>
          </cell>
          <cell r="AF520">
            <v>0</v>
          </cell>
          <cell r="AG520">
            <v>0</v>
          </cell>
          <cell r="AH520">
            <v>0</v>
          </cell>
          <cell r="AI520">
            <v>0</v>
          </cell>
        </row>
        <row r="521">
          <cell r="A521" t="str">
            <v>EgetKapital</v>
          </cell>
          <cell r="C521" t="str">
            <v>Eget kapital</v>
          </cell>
          <cell r="D521">
            <v>793780.97202681995</v>
          </cell>
          <cell r="E521">
            <v>858958.45282949856</v>
          </cell>
          <cell r="F521">
            <v>683427.46656614554</v>
          </cell>
          <cell r="G521">
            <v>746504.77007100498</v>
          </cell>
          <cell r="H521">
            <v>814725.33780476125</v>
          </cell>
          <cell r="I521">
            <v>711674.5925057428</v>
          </cell>
          <cell r="J521">
            <v>908849.2281739465</v>
          </cell>
          <cell r="K521">
            <v>1007482.8654358219</v>
          </cell>
          <cell r="L521">
            <v>1125791.5921310266</v>
          </cell>
          <cell r="M521">
            <v>1224027.9404558134</v>
          </cell>
          <cell r="N521">
            <v>1093300.5222425</v>
          </cell>
          <cell r="O521">
            <v>1206636.408535532</v>
          </cell>
          <cell r="P521">
            <v>1307717.6887188456</v>
          </cell>
          <cell r="Q521">
            <v>1097619.1778009019</v>
          </cell>
          <cell r="R521">
            <v>1186169.264030921</v>
          </cell>
          <cell r="S521">
            <v>1328942.6302259509</v>
          </cell>
          <cell r="T521">
            <v>1426993.8983840849</v>
          </cell>
          <cell r="U521">
            <v>1248507.3407846699</v>
          </cell>
          <cell r="V521">
            <v>1323543.4867709898</v>
          </cell>
          <cell r="W521">
            <v>1538160.4978696499</v>
          </cell>
          <cell r="X521">
            <v>1614303.4072737</v>
          </cell>
          <cell r="Y521">
            <v>1415947.1724044913</v>
          </cell>
          <cell r="Z521">
            <v>1529026.9816428395</v>
          </cell>
          <cell r="AA521">
            <v>1839272.5028754175</v>
          </cell>
          <cell r="AB521">
            <v>1945317.4540872683</v>
          </cell>
          <cell r="AC521">
            <v>1837512.8891921022</v>
          </cell>
          <cell r="AD521">
            <v>2172836.2374911765</v>
          </cell>
          <cell r="AE521">
            <v>2615543.3411971163</v>
          </cell>
          <cell r="AF521">
            <v>3172149.8589487337</v>
          </cell>
          <cell r="AG521">
            <v>3669900.4980705194</v>
          </cell>
          <cell r="AH521">
            <v>4119046.7569329645</v>
          </cell>
          <cell r="AI521">
            <v>4673309.0640702303</v>
          </cell>
        </row>
        <row r="522">
          <cell r="A522" t="str">
            <v>SummaSkuldEK</v>
          </cell>
          <cell r="C522" t="str">
            <v>Summa skulder och eget kapital</v>
          </cell>
          <cell r="D522">
            <v>56656308.370026812</v>
          </cell>
          <cell r="E522">
            <v>60913463.112829499</v>
          </cell>
          <cell r="F522">
            <v>64407188.791566141</v>
          </cell>
          <cell r="G522">
            <v>65224076.94807101</v>
          </cell>
          <cell r="H522">
            <v>67296385.588804752</v>
          </cell>
          <cell r="I522">
            <v>80372582.537505731</v>
          </cell>
          <cell r="J522">
            <v>86547530.678633943</v>
          </cell>
          <cell r="K522">
            <v>86515646.148385808</v>
          </cell>
          <cell r="L522">
            <v>88621495.603131041</v>
          </cell>
          <cell r="M522">
            <v>90339772.067455813</v>
          </cell>
          <cell r="N522">
            <v>94070243.214242503</v>
          </cell>
          <cell r="O522">
            <v>100544845.08853553</v>
          </cell>
          <cell r="P522">
            <v>100616121.03471883</v>
          </cell>
          <cell r="Q522">
            <v>107122185.79080091</v>
          </cell>
          <cell r="R522">
            <v>112801709.23235092</v>
          </cell>
          <cell r="S522">
            <v>117415132.76155597</v>
          </cell>
          <cell r="T522">
            <v>116120060.36266509</v>
          </cell>
          <cell r="U522">
            <v>119943530.73898566</v>
          </cell>
          <cell r="V522">
            <v>125892934.37735099</v>
          </cell>
          <cell r="W522">
            <v>133940413.38007967</v>
          </cell>
          <cell r="X522">
            <v>122138435.1497637</v>
          </cell>
          <cell r="Y522">
            <v>136214080.44568449</v>
          </cell>
          <cell r="Z522">
            <v>144671975.99925289</v>
          </cell>
          <cell r="AA522">
            <v>149816289.51457539</v>
          </cell>
          <cell r="AB522">
            <v>155941738.51677725</v>
          </cell>
          <cell r="AC522">
            <v>159011473.75105211</v>
          </cell>
          <cell r="AD522">
            <v>174015845.49739119</v>
          </cell>
          <cell r="AE522">
            <v>191677853.35852709</v>
          </cell>
          <cell r="AF522">
            <v>204775125.91680542</v>
          </cell>
          <cell r="AG522">
            <v>234022097.78895053</v>
          </cell>
          <cell r="AH522">
            <v>252357301.98753294</v>
          </cell>
          <cell r="AI522">
            <v>263180659.33450019</v>
          </cell>
        </row>
        <row r="523">
          <cell r="U523">
            <v>-0.45559196174144745</v>
          </cell>
          <cell r="V523">
            <v>-0.32675094902515411</v>
          </cell>
          <cell r="W523">
            <v>-0.20798099040985107</v>
          </cell>
          <cell r="X523">
            <v>-0.20798097550868988</v>
          </cell>
          <cell r="Y523">
            <v>2.0592590272426605</v>
          </cell>
          <cell r="Z523">
            <v>1.9699789881706238</v>
          </cell>
          <cell r="AA523">
            <v>-0.17577096819877625</v>
          </cell>
          <cell r="AB523">
            <v>-0.56119096279144287</v>
          </cell>
          <cell r="AC523">
            <v>0.28978905081748962</v>
          </cell>
          <cell r="AD523">
            <v>0.88328900933265686</v>
          </cell>
          <cell r="AE523">
            <v>0.45001903176307678</v>
          </cell>
          <cell r="AF523">
            <v>-0.11824101209640503</v>
          </cell>
          <cell r="AG523">
            <v>-0.6822810173034668</v>
          </cell>
          <cell r="AH523">
            <v>-0.24947094917297363</v>
          </cell>
          <cell r="AI523">
            <v>-0.23463091254234314</v>
          </cell>
        </row>
        <row r="524">
          <cell r="C524" t="str">
            <v>Förändring koncernens EK (kSEK) - Kvartal</v>
          </cell>
        </row>
        <row r="525">
          <cell r="A525" t="str">
            <v>EKIBQ</v>
          </cell>
          <cell r="C525" t="str">
            <v>Eget kapital vid periodens ingång</v>
          </cell>
          <cell r="E525">
            <v>793780.97202681995</v>
          </cell>
          <cell r="F525">
            <v>858958.45282949856</v>
          </cell>
          <cell r="G525">
            <v>683427.46656614554</v>
          </cell>
          <cell r="H525">
            <v>746504.77007100498</v>
          </cell>
          <cell r="I525">
            <v>814725.33780476125</v>
          </cell>
          <cell r="J525">
            <v>711674.5925057428</v>
          </cell>
          <cell r="K525">
            <v>908849.2281739465</v>
          </cell>
          <cell r="L525">
            <v>1007482.8654358219</v>
          </cell>
          <cell r="M525">
            <v>1125791.5921310266</v>
          </cell>
          <cell r="N525">
            <v>1224027.9404558134</v>
          </cell>
          <cell r="O525">
            <v>1093300.5222425</v>
          </cell>
          <cell r="P525">
            <v>1206636.408535532</v>
          </cell>
          <cell r="Q525">
            <v>1307717.6887188456</v>
          </cell>
          <cell r="R525">
            <v>1097619.1778009019</v>
          </cell>
          <cell r="S525">
            <v>1186169.264030921</v>
          </cell>
          <cell r="T525">
            <v>1328942.6302259509</v>
          </cell>
          <cell r="U525">
            <v>1426993.8983840849</v>
          </cell>
          <cell r="V525">
            <v>1248507.3407846699</v>
          </cell>
          <cell r="W525">
            <v>1323543.4867709898</v>
          </cell>
          <cell r="X525">
            <v>1538160.4978696499</v>
          </cell>
          <cell r="Y525">
            <v>1614303.4072737</v>
          </cell>
          <cell r="Z525">
            <v>1415947.1724044913</v>
          </cell>
          <cell r="AA525">
            <v>1529026.9816428395</v>
          </cell>
          <cell r="AB525">
            <v>1839272.5028754175</v>
          </cell>
          <cell r="AC525">
            <v>1945317.4540872683</v>
          </cell>
          <cell r="AD525">
            <v>1837512.8891921022</v>
          </cell>
          <cell r="AE525">
            <v>2172836.2374911765</v>
          </cell>
          <cell r="AF525">
            <v>2615543.3411971163</v>
          </cell>
          <cell r="AG525">
            <v>3172149.8589487337</v>
          </cell>
          <cell r="AI525">
            <v>4119046.7569329645</v>
          </cell>
        </row>
        <row r="526">
          <cell r="A526" t="str">
            <v>ÖkadResIFRS9Q</v>
          </cell>
          <cell r="C526" t="str">
            <v>Ökad reserv för befarade kreditförluster enligt IFRS 9</v>
          </cell>
          <cell r="U526">
            <v>-2980.0309999999999</v>
          </cell>
        </row>
        <row r="527">
          <cell r="A527" t="str">
            <v>VärderingOblQ</v>
          </cell>
          <cell r="C527" t="str">
            <v>Värdering av obligationer enligt verkligt värde via övrigt totalresultat</v>
          </cell>
          <cell r="U527">
            <v>24308.0409</v>
          </cell>
        </row>
        <row r="528">
          <cell r="C528" t="str">
            <v>Omvärdering av aktier och andelar</v>
          </cell>
          <cell r="U528">
            <v>9867.2000000000007</v>
          </cell>
        </row>
        <row r="529">
          <cell r="A529" t="str">
            <v>JustEKIBQ</v>
          </cell>
          <cell r="C529" t="str">
            <v>Justerat eget kapital vid periodens ingång</v>
          </cell>
          <cell r="E529">
            <v>793780.97202681995</v>
          </cell>
          <cell r="F529">
            <v>858958.45282949856</v>
          </cell>
          <cell r="G529">
            <v>683427.46656614554</v>
          </cell>
          <cell r="H529">
            <v>746504.77007100498</v>
          </cell>
          <cell r="I529">
            <v>814725.33780476125</v>
          </cell>
          <cell r="J529">
            <v>711674.5925057428</v>
          </cell>
          <cell r="K529">
            <v>908849.2281739465</v>
          </cell>
          <cell r="L529">
            <v>1007482.8654358219</v>
          </cell>
          <cell r="M529">
            <v>1125791.5921310266</v>
          </cell>
          <cell r="N529">
            <v>1224027.9404558134</v>
          </cell>
          <cell r="O529">
            <v>1093300.5222425</v>
          </cell>
          <cell r="P529">
            <v>1206636.408535532</v>
          </cell>
          <cell r="Q529">
            <v>1307717.6887188456</v>
          </cell>
          <cell r="R529">
            <v>1097619.1778009019</v>
          </cell>
          <cell r="S529">
            <v>1186169.264030921</v>
          </cell>
          <cell r="T529">
            <v>1328942.6302259509</v>
          </cell>
          <cell r="U529">
            <v>1458189.1082840848</v>
          </cell>
          <cell r="V529">
            <v>1248507.3407846699</v>
          </cell>
          <cell r="W529">
            <v>1323543.4867709898</v>
          </cell>
          <cell r="X529">
            <v>1538160.4978696499</v>
          </cell>
          <cell r="Y529">
            <v>1614303.4072737</v>
          </cell>
          <cell r="Z529">
            <v>1415947.1724044913</v>
          </cell>
          <cell r="AA529">
            <v>1529026.9816428395</v>
          </cell>
          <cell r="AB529">
            <v>1839272.5028754175</v>
          </cell>
          <cell r="AC529">
            <v>1945317.4540872683</v>
          </cell>
          <cell r="AD529">
            <v>1837512.8891921022</v>
          </cell>
          <cell r="AE529">
            <v>2172836.2374911765</v>
          </cell>
          <cell r="AF529">
            <v>2615543.3411971163</v>
          </cell>
          <cell r="AG529">
            <v>3172149.8589487337</v>
          </cell>
          <cell r="AI529">
            <v>4119046.7569329645</v>
          </cell>
        </row>
        <row r="530">
          <cell r="A530" t="str">
            <v>LämnadUtdQ</v>
          </cell>
          <cell r="C530" t="str">
            <v>Lämnad utdelning</v>
          </cell>
          <cell r="E530">
            <v>0</v>
          </cell>
          <cell r="F530">
            <v>-230990</v>
          </cell>
          <cell r="G530">
            <v>0</v>
          </cell>
          <cell r="H530">
            <v>0</v>
          </cell>
          <cell r="I530">
            <v>-202116</v>
          </cell>
          <cell r="J530">
            <v>0</v>
          </cell>
          <cell r="K530">
            <v>0</v>
          </cell>
          <cell r="L530">
            <v>0</v>
          </cell>
          <cell r="M530">
            <v>0</v>
          </cell>
          <cell r="N530">
            <v>-308112.7</v>
          </cell>
          <cell r="O530">
            <v>0</v>
          </cell>
          <cell r="P530">
            <v>0</v>
          </cell>
          <cell r="Q530">
            <v>-313308.68099999998</v>
          </cell>
          <cell r="R530">
            <v>0</v>
          </cell>
          <cell r="S530">
            <v>0</v>
          </cell>
          <cell r="T530">
            <v>0</v>
          </cell>
          <cell r="U530">
            <v>-314960.33100000001</v>
          </cell>
          <cell r="V530">
            <v>0</v>
          </cell>
          <cell r="W530">
            <v>0</v>
          </cell>
          <cell r="Y530">
            <v>-317866.45799999998</v>
          </cell>
          <cell r="Z530">
            <v>0</v>
          </cell>
          <cell r="AA530">
            <v>0</v>
          </cell>
          <cell r="AB530">
            <v>0</v>
          </cell>
        </row>
        <row r="531">
          <cell r="A531" t="str">
            <v>NyemQ</v>
          </cell>
          <cell r="C531" t="str">
            <v>Nyemission (utnyttjande av teckningsoptioner)</v>
          </cell>
          <cell r="E531">
            <v>0</v>
          </cell>
          <cell r="F531">
            <v>0</v>
          </cell>
          <cell r="G531">
            <v>0</v>
          </cell>
          <cell r="H531">
            <v>0</v>
          </cell>
          <cell r="I531">
            <v>0</v>
          </cell>
          <cell r="J531">
            <v>93174.55</v>
          </cell>
          <cell r="K531">
            <v>0</v>
          </cell>
          <cell r="L531">
            <v>0</v>
          </cell>
          <cell r="M531">
            <v>0</v>
          </cell>
          <cell r="N531">
            <v>83245.3</v>
          </cell>
          <cell r="O531">
            <v>0</v>
          </cell>
          <cell r="P531">
            <v>0</v>
          </cell>
          <cell r="Q531">
            <v>0</v>
          </cell>
          <cell r="R531">
            <v>0</v>
          </cell>
          <cell r="S531">
            <v>49665.902000000002</v>
          </cell>
          <cell r="T531">
            <v>0</v>
          </cell>
          <cell r="U531">
            <v>0</v>
          </cell>
          <cell r="V531">
            <v>0</v>
          </cell>
          <cell r="W531">
            <v>108382</v>
          </cell>
          <cell r="Y531">
            <v>0</v>
          </cell>
          <cell r="Z531">
            <v>0</v>
          </cell>
          <cell r="AA531">
            <v>182570</v>
          </cell>
          <cell r="AB531">
            <v>0</v>
          </cell>
        </row>
        <row r="532">
          <cell r="A532" t="str">
            <v>EmTeckningsoptQ</v>
          </cell>
          <cell r="C532" t="str">
            <v>Emission av teckningsoptioner</v>
          </cell>
          <cell r="E532">
            <v>0</v>
          </cell>
          <cell r="F532">
            <v>0</v>
          </cell>
          <cell r="G532">
            <v>2375</v>
          </cell>
          <cell r="H532">
            <v>0</v>
          </cell>
          <cell r="I532">
            <v>0</v>
          </cell>
          <cell r="J532">
            <v>0</v>
          </cell>
          <cell r="K532">
            <v>5033</v>
          </cell>
          <cell r="L532">
            <v>0</v>
          </cell>
          <cell r="M532">
            <v>0</v>
          </cell>
          <cell r="N532">
            <v>0</v>
          </cell>
          <cell r="O532">
            <v>7875.28</v>
          </cell>
          <cell r="P532">
            <v>0</v>
          </cell>
          <cell r="Q532">
            <v>0</v>
          </cell>
          <cell r="R532">
            <v>0</v>
          </cell>
          <cell r="S532">
            <v>4377.57</v>
          </cell>
          <cell r="T532">
            <v>0</v>
          </cell>
          <cell r="U532">
            <v>0</v>
          </cell>
          <cell r="V532">
            <v>0</v>
          </cell>
          <cell r="W532">
            <v>4637.4679999999998</v>
          </cell>
          <cell r="Y532">
            <v>0</v>
          </cell>
          <cell r="Z532">
            <v>0</v>
          </cell>
          <cell r="AA532">
            <v>4380</v>
          </cell>
          <cell r="AB532">
            <v>0</v>
          </cell>
        </row>
        <row r="533">
          <cell r="C533" t="str">
            <v>Periodens resultat inkl övrigt totalresultat</v>
          </cell>
          <cell r="E533">
            <v>65177.902349499047</v>
          </cell>
          <cell r="F533">
            <v>55458.337736646885</v>
          </cell>
          <cell r="G533">
            <v>60701.758504857949</v>
          </cell>
          <cell r="H533">
            <v>68221.354433755347</v>
          </cell>
          <cell r="I533">
            <v>99065</v>
          </cell>
          <cell r="J533">
            <v>104001</v>
          </cell>
          <cell r="K533">
            <v>93600</v>
          </cell>
          <cell r="L533">
            <v>118309.23771125398</v>
          </cell>
          <cell r="M533">
            <v>98236.185455813189</v>
          </cell>
          <cell r="N533">
            <v>94139.752786687051</v>
          </cell>
          <cell r="O533">
            <v>105460.60629303113</v>
          </cell>
          <cell r="P533">
            <v>101081.28018331237</v>
          </cell>
          <cell r="Q533">
            <v>103210.96480090257</v>
          </cell>
          <cell r="R533">
            <v>88550.08623001723</v>
          </cell>
          <cell r="S533">
            <v>88729.565425029054</v>
          </cell>
          <cell r="T533">
            <v>98051.268368136123</v>
          </cell>
          <cell r="U533">
            <v>105820.03650058458</v>
          </cell>
          <cell r="V533">
            <v>74942.713986327828</v>
          </cell>
          <cell r="W533">
            <v>101594.84409865843</v>
          </cell>
          <cell r="X533">
            <v>76153.68108383975</v>
          </cell>
          <cell r="Y533">
            <v>119595.50958079344</v>
          </cell>
          <cell r="Z533">
            <v>113109.48071837897</v>
          </cell>
          <cell r="AA533">
            <v>123296.16323254592</v>
          </cell>
          <cell r="AB533">
            <v>106045.00560183785</v>
          </cell>
          <cell r="AC533">
            <v>245861.76731484249</v>
          </cell>
          <cell r="AD533">
            <v>335927.72983907524</v>
          </cell>
          <cell r="AE533">
            <v>344240.6567759412</v>
          </cell>
          <cell r="AF533">
            <v>557132.85596257192</v>
          </cell>
          <cell r="AG533">
            <v>629461.24355512206</v>
          </cell>
          <cell r="AI533">
            <v>480193.0700272558</v>
          </cell>
        </row>
        <row r="534">
          <cell r="C534" t="str">
            <v>Eget kapital vid periodens utgång</v>
          </cell>
          <cell r="E534">
            <v>858958.874376319</v>
          </cell>
          <cell r="F534">
            <v>683426.79056614544</v>
          </cell>
          <cell r="G534">
            <v>746504.22507100343</v>
          </cell>
          <cell r="H534">
            <v>814726.12450476037</v>
          </cell>
          <cell r="I534">
            <v>711674.33780476125</v>
          </cell>
          <cell r="J534">
            <v>908850.14250574284</v>
          </cell>
          <cell r="K534">
            <v>1007482.2281739465</v>
          </cell>
          <cell r="L534">
            <v>1125792.103147076</v>
          </cell>
          <cell r="M534">
            <v>1224027.7775868396</v>
          </cell>
          <cell r="N534">
            <v>1093300.2932425006</v>
          </cell>
          <cell r="O534">
            <v>1206636.4085355313</v>
          </cell>
          <cell r="P534">
            <v>1307717.6887188442</v>
          </cell>
          <cell r="Q534">
            <v>1097619.9725197481</v>
          </cell>
          <cell r="R534">
            <v>1186169.2640309192</v>
          </cell>
          <cell r="S534">
            <v>1328942.3014559501</v>
          </cell>
          <cell r="T534">
            <v>1426993.898594087</v>
          </cell>
          <cell r="U534">
            <v>1249048.8137846694</v>
          </cell>
          <cell r="V534">
            <v>1323450.0547709977</v>
          </cell>
          <cell r="W534">
            <v>1538157.7988696485</v>
          </cell>
          <cell r="X534">
            <v>1614314.1789534898</v>
          </cell>
          <cell r="Y534">
            <v>1416032.4588544932</v>
          </cell>
          <cell r="Z534">
            <v>1529056.6531228703</v>
          </cell>
          <cell r="AA534">
            <v>1839273.1448753853</v>
          </cell>
          <cell r="AB534">
            <v>1945317.5084772552</v>
          </cell>
          <cell r="AC534">
            <v>2191179.221402111</v>
          </cell>
          <cell r="AD534">
            <v>2173440.6190311774</v>
          </cell>
          <cell r="AE534">
            <v>2517076.8942671176</v>
          </cell>
          <cell r="AF534">
            <v>3172676.197159688</v>
          </cell>
          <cell r="AG534">
            <v>3801611.1025038557</v>
          </cell>
          <cell r="AI534">
            <v>4599239.82696022</v>
          </cell>
        </row>
        <row r="535">
          <cell r="C535" t="str">
            <v>Check</v>
          </cell>
          <cell r="E535">
            <v>0.42154682043474168</v>
          </cell>
          <cell r="F535">
            <v>-0.67600000009406358</v>
          </cell>
          <cell r="G535">
            <v>-0.5450000015553087</v>
          </cell>
          <cell r="H535">
            <v>0.78669999912381172</v>
          </cell>
          <cell r="I535">
            <v>-0.25470098154619336</v>
          </cell>
          <cell r="J535">
            <v>0.9143317963462323</v>
          </cell>
          <cell r="K535">
            <v>-0.63726187543943524</v>
          </cell>
          <cell r="L535">
            <v>0.5110160494223237</v>
          </cell>
          <cell r="M535">
            <v>-0.16286897379904985</v>
          </cell>
          <cell r="N535">
            <v>-0.22899999935179949</v>
          </cell>
          <cell r="O535">
            <v>0</v>
          </cell>
          <cell r="P535">
            <v>0</v>
          </cell>
          <cell r="Q535">
            <v>0.79471884621307254</v>
          </cell>
          <cell r="R535">
            <v>-1.862645149230957E-9</v>
          </cell>
          <cell r="S535">
            <v>-0.32877000072039664</v>
          </cell>
          <cell r="T535">
            <v>2.1000206470489502E-4</v>
          </cell>
          <cell r="U535">
            <v>541.47299999953248</v>
          </cell>
          <cell r="V535">
            <v>-93.43199999211356</v>
          </cell>
          <cell r="W535">
            <v>-2.6990000014193356</v>
          </cell>
          <cell r="X535">
            <v>10.771679789759219</v>
          </cell>
          <cell r="Y535">
            <v>85.286450001876801</v>
          </cell>
          <cell r="Z535">
            <v>29.671480030752718</v>
          </cell>
          <cell r="AA535">
            <v>0.6419999678619206</v>
          </cell>
          <cell r="AB535">
            <v>5.4389986908063293E-2</v>
          </cell>
          <cell r="AC535">
            <v>353666.33221000875</v>
          </cell>
          <cell r="AD535">
            <v>604.38154000090435</v>
          </cell>
          <cell r="AE535">
            <v>-98466.446929998696</v>
          </cell>
          <cell r="AF535">
            <v>526.33821095433086</v>
          </cell>
          <cell r="AG535">
            <v>131710.6044333363</v>
          </cell>
          <cell r="AI535">
            <v>-74069.237110010348</v>
          </cell>
        </row>
        <row r="537">
          <cell r="C537" t="str">
            <v>Förändring koncernens EK (kSEK) - YTD</v>
          </cell>
        </row>
        <row r="538">
          <cell r="A538" t="str">
            <v>EKIBYTD</v>
          </cell>
          <cell r="C538" t="str">
            <v>Eget kapital vid periodens ingång</v>
          </cell>
          <cell r="E538">
            <v>793780.97202681995</v>
          </cell>
          <cell r="F538">
            <v>793780.97202681995</v>
          </cell>
          <cell r="G538">
            <v>793780.97202681995</v>
          </cell>
          <cell r="H538">
            <v>793780.97202681995</v>
          </cell>
          <cell r="I538">
            <v>814725.33780476125</v>
          </cell>
          <cell r="J538">
            <v>814725.33780476125</v>
          </cell>
          <cell r="K538">
            <v>814725.33780476125</v>
          </cell>
          <cell r="L538">
            <v>814725.33780476125</v>
          </cell>
          <cell r="M538">
            <v>1125791.5921310266</v>
          </cell>
          <cell r="N538">
            <v>1125791.5921310266</v>
          </cell>
          <cell r="O538">
            <v>1125791.5921310266</v>
          </cell>
          <cell r="P538">
            <v>1125791.5921310266</v>
          </cell>
          <cell r="Q538">
            <v>1307717.6887188456</v>
          </cell>
          <cell r="R538">
            <v>1307717.6887188456</v>
          </cell>
          <cell r="S538">
            <v>1307717.6887188456</v>
          </cell>
          <cell r="T538">
            <v>1307717.6887188456</v>
          </cell>
          <cell r="U538">
            <v>1426993.8983840849</v>
          </cell>
          <cell r="V538">
            <v>1426993.8983840849</v>
          </cell>
          <cell r="W538">
            <v>1426993.8983840849</v>
          </cell>
          <cell r="X538">
            <v>1426993.8983840849</v>
          </cell>
          <cell r="Y538">
            <v>1614303.4072737</v>
          </cell>
          <cell r="Z538">
            <v>1614303.4072737</v>
          </cell>
          <cell r="AA538">
            <v>1614303.4072737</v>
          </cell>
          <cell r="AB538">
            <v>1614303.4072737</v>
          </cell>
          <cell r="AC538">
            <v>1945317.4540872683</v>
          </cell>
          <cell r="AD538">
            <v>1945317.4540872683</v>
          </cell>
          <cell r="AE538">
            <v>1945317.4540872683</v>
          </cell>
          <cell r="AF538">
            <v>1945317.4540872683</v>
          </cell>
          <cell r="AG538">
            <v>1837512.8891921022</v>
          </cell>
          <cell r="AI538">
            <v>3172149.8589487337</v>
          </cell>
        </row>
        <row r="539">
          <cell r="A539" t="str">
            <v>ÖkadResIFRS9YTD</v>
          </cell>
          <cell r="C539" t="str">
            <v>Ökad reserv för befarade kreditförluster enligt IFRS 9</v>
          </cell>
          <cell r="U539">
            <v>-2980.0309999999999</v>
          </cell>
          <cell r="V539">
            <v>-2980.0309999999999</v>
          </cell>
          <cell r="W539">
            <v>-2980.0309999999999</v>
          </cell>
          <cell r="X539">
            <v>-2980.0309999999999</v>
          </cell>
          <cell r="Y539">
            <v>0</v>
          </cell>
          <cell r="Z539">
            <v>0</v>
          </cell>
          <cell r="AA539">
            <v>0</v>
          </cell>
          <cell r="AB539">
            <v>0</v>
          </cell>
          <cell r="AC539">
            <v>0</v>
          </cell>
          <cell r="AD539">
            <v>0</v>
          </cell>
          <cell r="AE539">
            <v>0</v>
          </cell>
          <cell r="AF539">
            <v>0</v>
          </cell>
          <cell r="AG539">
            <v>0</v>
          </cell>
          <cell r="AI539">
            <v>0</v>
          </cell>
        </row>
        <row r="540">
          <cell r="A540" t="str">
            <v>VärderingOblYTD</v>
          </cell>
          <cell r="C540" t="str">
            <v>Värdering av obligationer enligt verkligt värde via övrigt totalresultat</v>
          </cell>
          <cell r="U540">
            <v>24308.0409</v>
          </cell>
          <cell r="V540">
            <v>24308.0409</v>
          </cell>
          <cell r="W540">
            <v>24308.0409</v>
          </cell>
          <cell r="X540">
            <v>24308.0409</v>
          </cell>
          <cell r="Y540">
            <v>0</v>
          </cell>
          <cell r="Z540">
            <v>0</v>
          </cell>
          <cell r="AA540">
            <v>0</v>
          </cell>
          <cell r="AB540">
            <v>0</v>
          </cell>
          <cell r="AC540">
            <v>0</v>
          </cell>
          <cell r="AD540">
            <v>0</v>
          </cell>
          <cell r="AE540">
            <v>0</v>
          </cell>
          <cell r="AF540">
            <v>0</v>
          </cell>
          <cell r="AG540">
            <v>0</v>
          </cell>
          <cell r="AI540">
            <v>0</v>
          </cell>
        </row>
        <row r="541">
          <cell r="C541" t="str">
            <v>Omvärdering av aktier och andelar</v>
          </cell>
          <cell r="U541">
            <v>9867.2000000000007</v>
          </cell>
          <cell r="V541">
            <v>9867.2000000000007</v>
          </cell>
          <cell r="W541">
            <v>9867.2000000000007</v>
          </cell>
          <cell r="X541">
            <v>9867.2000000000007</v>
          </cell>
          <cell r="Y541">
            <v>0</v>
          </cell>
          <cell r="Z541">
            <v>0</v>
          </cell>
          <cell r="AA541">
            <v>0</v>
          </cell>
          <cell r="AB541">
            <v>0</v>
          </cell>
          <cell r="AC541">
            <v>0</v>
          </cell>
          <cell r="AD541">
            <v>0</v>
          </cell>
          <cell r="AE541">
            <v>0</v>
          </cell>
          <cell r="AF541">
            <v>0</v>
          </cell>
          <cell r="AG541">
            <v>0</v>
          </cell>
          <cell r="AI541">
            <v>0</v>
          </cell>
        </row>
        <row r="542">
          <cell r="A542" t="str">
            <v>JustEKIBYTD</v>
          </cell>
          <cell r="C542" t="str">
            <v>Justerat eget kapital vid periodens ingång</v>
          </cell>
          <cell r="E542">
            <v>793780.97202681995</v>
          </cell>
          <cell r="F542">
            <v>793780.97202681995</v>
          </cell>
          <cell r="G542">
            <v>793780.97202681995</v>
          </cell>
          <cell r="H542">
            <v>793780.97202681995</v>
          </cell>
          <cell r="I542">
            <v>814725.33780476125</v>
          </cell>
          <cell r="J542">
            <v>814725.33780476125</v>
          </cell>
          <cell r="K542">
            <v>814725.33780476125</v>
          </cell>
          <cell r="L542">
            <v>814725.33780476125</v>
          </cell>
          <cell r="M542">
            <v>1125791.5921310266</v>
          </cell>
          <cell r="N542">
            <v>1125791.5921310266</v>
          </cell>
          <cell r="O542">
            <v>1125791.5921310266</v>
          </cell>
          <cell r="P542">
            <v>1125791.5921310266</v>
          </cell>
          <cell r="Q542">
            <v>1307717.6887188456</v>
          </cell>
          <cell r="R542">
            <v>1307717.6887188456</v>
          </cell>
          <cell r="S542">
            <v>1307717.6887188456</v>
          </cell>
          <cell r="T542">
            <v>1307717.6887188456</v>
          </cell>
          <cell r="U542">
            <v>1458189.1082840848</v>
          </cell>
          <cell r="V542">
            <v>1458189.1082840848</v>
          </cell>
          <cell r="W542">
            <v>1458189.1082840848</v>
          </cell>
          <cell r="X542">
            <v>1458189.1082840848</v>
          </cell>
          <cell r="Y542">
            <v>1614303.4072737</v>
          </cell>
          <cell r="Z542">
            <v>1614303.4072737</v>
          </cell>
          <cell r="AA542">
            <v>1614303.4072737</v>
          </cell>
          <cell r="AB542">
            <v>1614303.4072737</v>
          </cell>
          <cell r="AC542">
            <v>1945317.4540872683</v>
          </cell>
          <cell r="AD542">
            <v>1945317.4540872683</v>
          </cell>
          <cell r="AE542">
            <v>1945317.4540872683</v>
          </cell>
          <cell r="AF542">
            <v>1945317.4540872683</v>
          </cell>
          <cell r="AG542">
            <v>1837512.8891921022</v>
          </cell>
          <cell r="AI542">
            <v>3172149.8589487337</v>
          </cell>
        </row>
        <row r="543">
          <cell r="A543" t="str">
            <v>LämnadUtdYTD</v>
          </cell>
          <cell r="C543" t="str">
            <v>Lämnad utdelning</v>
          </cell>
          <cell r="E543">
            <v>0</v>
          </cell>
          <cell r="F543">
            <v>-230990</v>
          </cell>
          <cell r="G543">
            <v>-230990</v>
          </cell>
          <cell r="H543">
            <v>-230990</v>
          </cell>
          <cell r="I543">
            <v>-202116</v>
          </cell>
          <cell r="J543">
            <v>-202116</v>
          </cell>
          <cell r="K543">
            <v>-202116</v>
          </cell>
          <cell r="L543">
            <v>-202116</v>
          </cell>
          <cell r="M543">
            <v>0</v>
          </cell>
          <cell r="N543">
            <v>-308112.7</v>
          </cell>
          <cell r="O543">
            <v>-308112.7</v>
          </cell>
          <cell r="P543">
            <v>-308112.7</v>
          </cell>
          <cell r="Q543">
            <v>-313308.68099999998</v>
          </cell>
          <cell r="R543">
            <v>-313308.68099999998</v>
          </cell>
          <cell r="S543">
            <v>-313308.68099999998</v>
          </cell>
          <cell r="T543">
            <v>-313308.68099999998</v>
          </cell>
          <cell r="U543">
            <v>-314960.33100000001</v>
          </cell>
          <cell r="V543">
            <v>-314960.33100000001</v>
          </cell>
          <cell r="W543">
            <v>-314960.33100000001</v>
          </cell>
          <cell r="X543">
            <v>-314960.33100000001</v>
          </cell>
          <cell r="Y543">
            <v>-317866.45799999998</v>
          </cell>
          <cell r="Z543">
            <v>-317866.45799999998</v>
          </cell>
          <cell r="AA543">
            <v>-317866.45799999998</v>
          </cell>
          <cell r="AB543">
            <v>-317866.45799999998</v>
          </cell>
          <cell r="AC543">
            <v>0</v>
          </cell>
          <cell r="AD543">
            <v>0</v>
          </cell>
          <cell r="AE543">
            <v>0</v>
          </cell>
          <cell r="AF543">
            <v>0</v>
          </cell>
          <cell r="AG543">
            <v>0</v>
          </cell>
          <cell r="AI543">
            <v>0</v>
          </cell>
        </row>
        <row r="544">
          <cell r="A544" t="str">
            <v>NyemYTD</v>
          </cell>
          <cell r="C544" t="str">
            <v>Nyemission (utnyttjande av teckningsoptioner)</v>
          </cell>
          <cell r="E544">
            <v>0</v>
          </cell>
          <cell r="F544">
            <v>0</v>
          </cell>
          <cell r="G544">
            <v>0</v>
          </cell>
          <cell r="H544">
            <v>0</v>
          </cell>
          <cell r="I544">
            <v>0</v>
          </cell>
          <cell r="J544">
            <v>93174.55</v>
          </cell>
          <cell r="K544">
            <v>93174.55</v>
          </cell>
          <cell r="L544">
            <v>93174.55</v>
          </cell>
          <cell r="M544">
            <v>0</v>
          </cell>
          <cell r="N544">
            <v>83245.3</v>
          </cell>
          <cell r="O544">
            <v>83245.3</v>
          </cell>
          <cell r="P544">
            <v>83245.3</v>
          </cell>
          <cell r="Q544">
            <v>0</v>
          </cell>
          <cell r="R544">
            <v>0</v>
          </cell>
          <cell r="S544">
            <v>49665.902000000002</v>
          </cell>
          <cell r="T544">
            <v>49665.902000000002</v>
          </cell>
          <cell r="U544">
            <v>0</v>
          </cell>
          <cell r="V544">
            <v>0</v>
          </cell>
          <cell r="W544">
            <v>108382</v>
          </cell>
          <cell r="X544">
            <v>108382</v>
          </cell>
          <cell r="Y544">
            <v>0</v>
          </cell>
          <cell r="Z544">
            <v>0</v>
          </cell>
          <cell r="AA544">
            <v>182570</v>
          </cell>
          <cell r="AB544">
            <v>182570</v>
          </cell>
          <cell r="AC544">
            <v>0</v>
          </cell>
          <cell r="AD544">
            <v>0</v>
          </cell>
          <cell r="AE544">
            <v>0</v>
          </cell>
          <cell r="AF544">
            <v>0</v>
          </cell>
          <cell r="AG544">
            <v>0</v>
          </cell>
          <cell r="AI544">
            <v>0</v>
          </cell>
        </row>
        <row r="545">
          <cell r="A545" t="str">
            <v>EmTeckningsoptYTD</v>
          </cell>
          <cell r="C545" t="str">
            <v>Emission av teckningsoptioner</v>
          </cell>
          <cell r="E545">
            <v>0</v>
          </cell>
          <cell r="F545">
            <v>0</v>
          </cell>
          <cell r="G545">
            <v>2375</v>
          </cell>
          <cell r="H545">
            <v>2375</v>
          </cell>
          <cell r="I545">
            <v>0</v>
          </cell>
          <cell r="J545">
            <v>0</v>
          </cell>
          <cell r="K545">
            <v>5033</v>
          </cell>
          <cell r="L545">
            <v>5033</v>
          </cell>
          <cell r="M545">
            <v>0</v>
          </cell>
          <cell r="N545">
            <v>0</v>
          </cell>
          <cell r="O545">
            <v>7875.28</v>
          </cell>
          <cell r="P545">
            <v>7875.28</v>
          </cell>
          <cell r="Q545">
            <v>0</v>
          </cell>
          <cell r="R545">
            <v>0</v>
          </cell>
          <cell r="S545">
            <v>4377.57</v>
          </cell>
          <cell r="T545">
            <v>4377.57</v>
          </cell>
          <cell r="U545">
            <v>0</v>
          </cell>
          <cell r="V545">
            <v>0</v>
          </cell>
          <cell r="W545">
            <v>4637.4679999999998</v>
          </cell>
          <cell r="X545">
            <v>4637.4679999999998</v>
          </cell>
          <cell r="Y545">
            <v>0</v>
          </cell>
          <cell r="Z545">
            <v>0</v>
          </cell>
          <cell r="AA545">
            <v>4380</v>
          </cell>
          <cell r="AB545">
            <v>4380</v>
          </cell>
          <cell r="AC545">
            <v>0</v>
          </cell>
          <cell r="AD545">
            <v>0</v>
          </cell>
          <cell r="AE545">
            <v>0</v>
          </cell>
          <cell r="AF545">
            <v>0</v>
          </cell>
          <cell r="AG545">
            <v>0</v>
          </cell>
          <cell r="AI545">
            <v>0</v>
          </cell>
        </row>
        <row r="546">
          <cell r="C546" t="str">
            <v>Periodens resultat (tillika totalresultat)</v>
          </cell>
          <cell r="E546">
            <v>65177.902349499047</v>
          </cell>
          <cell r="F546">
            <v>120636.24008614596</v>
          </cell>
          <cell r="G546">
            <v>181337.99859100382</v>
          </cell>
          <cell r="H546">
            <v>249559.35302475921</v>
          </cell>
          <cell r="I546">
            <v>99065</v>
          </cell>
          <cell r="J546">
            <v>203066</v>
          </cell>
          <cell r="K546">
            <v>296666</v>
          </cell>
          <cell r="L546">
            <v>414975.23771125404</v>
          </cell>
          <cell r="M546">
            <v>98236.185455813189</v>
          </cell>
          <cell r="N546">
            <v>192375.93824250015</v>
          </cell>
          <cell r="O546">
            <v>297836.54453553143</v>
          </cell>
          <cell r="P546">
            <v>398917.82471884374</v>
          </cell>
          <cell r="Q546">
            <v>103210.96480090257</v>
          </cell>
          <cell r="R546">
            <v>191761.05103091983</v>
          </cell>
          <cell r="S546">
            <v>280490.61645594885</v>
          </cell>
          <cell r="T546">
            <v>378541.88482408482</v>
          </cell>
          <cell r="U546">
            <v>105820.03650058458</v>
          </cell>
          <cell r="V546">
            <v>180762.75048691247</v>
          </cell>
          <cell r="W546">
            <v>282357.5945855708</v>
          </cell>
          <cell r="X546">
            <v>358511.27566941071</v>
          </cell>
          <cell r="Y546">
            <v>119595.50958079344</v>
          </cell>
          <cell r="Z546">
            <v>232704.99029917247</v>
          </cell>
          <cell r="AA546">
            <v>356001.15353171824</v>
          </cell>
          <cell r="AB546">
            <v>462046.15913355607</v>
          </cell>
          <cell r="AC546">
            <v>245861.76731484249</v>
          </cell>
          <cell r="AD546">
            <v>581789.49715391779</v>
          </cell>
          <cell r="AE546">
            <v>926030.15392985928</v>
          </cell>
          <cell r="AF546">
            <v>1483163.0098924316</v>
          </cell>
          <cell r="AG546">
            <v>629461.24355512206</v>
          </cell>
          <cell r="AI546">
            <v>1558493.314994822</v>
          </cell>
        </row>
        <row r="547">
          <cell r="C547" t="str">
            <v>Eget kapital vid periodens utgång</v>
          </cell>
          <cell r="E547">
            <v>858958.874376319</v>
          </cell>
          <cell r="F547">
            <v>683427.21211296588</v>
          </cell>
          <cell r="G547">
            <v>746503.97061782377</v>
          </cell>
          <cell r="H547">
            <v>814725.32505157916</v>
          </cell>
          <cell r="I547">
            <v>711674.33780476125</v>
          </cell>
          <cell r="J547">
            <v>908849.8878047613</v>
          </cell>
          <cell r="K547">
            <v>1007482.8878047613</v>
          </cell>
          <cell r="L547">
            <v>1125792.1255160153</v>
          </cell>
          <cell r="M547">
            <v>1224027.7775868396</v>
          </cell>
          <cell r="N547">
            <v>1093300.1303735268</v>
          </cell>
          <cell r="O547">
            <v>1206636.0166665581</v>
          </cell>
          <cell r="P547">
            <v>1307717.2968498704</v>
          </cell>
          <cell r="Q547">
            <v>1097619.9725197481</v>
          </cell>
          <cell r="R547">
            <v>1186170.0587497654</v>
          </cell>
          <cell r="S547">
            <v>1328943.0961747945</v>
          </cell>
          <cell r="T547">
            <v>1426994.3645429304</v>
          </cell>
          <cell r="U547">
            <v>1249048.8137846694</v>
          </cell>
          <cell r="V547">
            <v>1323991.5277709973</v>
          </cell>
          <cell r="W547">
            <v>1538605.8398696557</v>
          </cell>
          <cell r="X547">
            <v>1614759.5209534955</v>
          </cell>
          <cell r="Y547">
            <v>1416032.4588544932</v>
          </cell>
          <cell r="Z547">
            <v>1529141.9395728724</v>
          </cell>
          <cell r="AA547">
            <v>1839388.1028054182</v>
          </cell>
          <cell r="AB547">
            <v>1945433.108407256</v>
          </cell>
          <cell r="AC547">
            <v>2191179.221402111</v>
          </cell>
          <cell r="AD547">
            <v>2527106.9512411859</v>
          </cell>
          <cell r="AE547">
            <v>2871347.6080171275</v>
          </cell>
          <cell r="AF547">
            <v>3428480.4639796996</v>
          </cell>
          <cell r="AG547">
            <v>2466974.1327472245</v>
          </cell>
          <cell r="AI547">
            <v>4730643.1739435559</v>
          </cell>
        </row>
        <row r="548">
          <cell r="C548" t="str">
            <v>Check</v>
          </cell>
          <cell r="E548">
            <v>0.42154682043474168</v>
          </cell>
          <cell r="F548">
            <v>-0.2544531796593219</v>
          </cell>
          <cell r="G548">
            <v>-0.7994531812146306</v>
          </cell>
          <cell r="H548">
            <v>-1.2753182090818882E-2</v>
          </cell>
          <cell r="I548">
            <v>-0.25470098154619336</v>
          </cell>
          <cell r="J548">
            <v>0.65963081480003893</v>
          </cell>
          <cell r="K548">
            <v>2.236893936060369E-2</v>
          </cell>
          <cell r="L548">
            <v>0.53338498878292739</v>
          </cell>
          <cell r="M548">
            <v>-0.16286897379904985</v>
          </cell>
          <cell r="N548">
            <v>-0.39186897315084934</v>
          </cell>
          <cell r="O548">
            <v>-0.39186897384934127</v>
          </cell>
          <cell r="P548">
            <v>-0.39186897524632514</v>
          </cell>
          <cell r="Q548">
            <v>0.79471884621307254</v>
          </cell>
          <cell r="R548">
            <v>0.79471884435042739</v>
          </cell>
          <cell r="S548">
            <v>0.46594884363003075</v>
          </cell>
          <cell r="T548">
            <v>0.466158845461905</v>
          </cell>
          <cell r="U548">
            <v>541.47299999953248</v>
          </cell>
          <cell r="V548">
            <v>448.04100000741892</v>
          </cell>
          <cell r="W548">
            <v>445.34200000576675</v>
          </cell>
          <cell r="X548">
            <v>456.11367979552597</v>
          </cell>
          <cell r="Y548">
            <v>85.286450001876801</v>
          </cell>
          <cell r="Z548">
            <v>114.95793003286235</v>
          </cell>
          <cell r="AA548">
            <v>115.59993000072427</v>
          </cell>
          <cell r="AB548">
            <v>115.65431998763233</v>
          </cell>
          <cell r="AC548">
            <v>353666.33221000875</v>
          </cell>
          <cell r="AD548">
            <v>354270.71375000942</v>
          </cell>
          <cell r="AE548">
            <v>255804.26682001119</v>
          </cell>
          <cell r="AF548">
            <v>256330.60503096599</v>
          </cell>
          <cell r="AG548">
            <v>-1202926.3653232949</v>
          </cell>
          <cell r="AI548">
            <v>57334.109873325564</v>
          </cell>
        </row>
        <row r="549">
          <cell r="A549" t="str">
            <v>InvStat</v>
          </cell>
        </row>
        <row r="550">
          <cell r="C550" t="str">
            <v>Koncernens kassaflöde (kSEK) - Kvartal</v>
          </cell>
        </row>
        <row r="551">
          <cell r="C551" t="str">
            <v>Den löpande verksamheten</v>
          </cell>
        </row>
        <row r="552">
          <cell r="C552" t="str">
            <v>Rörelseresultat före skatt</v>
          </cell>
          <cell r="U552">
            <v>119507.42088058458</v>
          </cell>
          <cell r="V552">
            <v>89919.135556327834</v>
          </cell>
          <cell r="W552">
            <v>132091.82632865844</v>
          </cell>
          <cell r="X552">
            <v>76348.677903839736</v>
          </cell>
          <cell r="Y552">
            <v>99964.260500793534</v>
          </cell>
          <cell r="Z552">
            <v>117460.23482837887</v>
          </cell>
          <cell r="AA552">
            <v>162524.45835254592</v>
          </cell>
          <cell r="AB552">
            <v>140066.74084183786</v>
          </cell>
          <cell r="AC552">
            <v>360894.54525484249</v>
          </cell>
          <cell r="AD552">
            <v>333194.45132907527</v>
          </cell>
          <cell r="AE552">
            <v>396460.49403594114</v>
          </cell>
          <cell r="AF552">
            <v>485939.21151161304</v>
          </cell>
          <cell r="AG552">
            <v>755741.80596512207</v>
          </cell>
          <cell r="AH552">
            <v>536350.43028244411</v>
          </cell>
          <cell r="AI552">
            <v>573950.12338725582</v>
          </cell>
        </row>
        <row r="553">
          <cell r="A553" t="str">
            <v>JustEjKFQ</v>
          </cell>
          <cell r="C553" t="str">
            <v>Justering för poster som ej ingår i kassaflödet</v>
          </cell>
          <cell r="U553">
            <v>4711.5806700000003</v>
          </cell>
          <cell r="V553">
            <v>4839.2101499999999</v>
          </cell>
          <cell r="W553">
            <v>4931.2829600000168</v>
          </cell>
          <cell r="X553">
            <v>5174.525420000009</v>
          </cell>
          <cell r="Y553">
            <v>6316.7532700000002</v>
          </cell>
          <cell r="Z553">
            <v>5872.7995899999933</v>
          </cell>
          <cell r="AA553">
            <v>5812.2800300000035</v>
          </cell>
          <cell r="AB553">
            <v>13840.672260000181</v>
          </cell>
          <cell r="AC553">
            <v>14797.28838</v>
          </cell>
          <cell r="AD553">
            <v>27082.541839999998</v>
          </cell>
          <cell r="AE553">
            <v>14051.20695999999</v>
          </cell>
          <cell r="AF553">
            <v>22696.10454</v>
          </cell>
          <cell r="AG553">
            <v>17772.686979999999</v>
          </cell>
          <cell r="AH553">
            <v>18011.716320000487</v>
          </cell>
          <cell r="AI553">
            <v>18383.606220000409</v>
          </cell>
        </row>
        <row r="554">
          <cell r="A554" t="str">
            <v>KFBetaldSkattQ</v>
          </cell>
          <cell r="C554" t="str">
            <v>Betald skatt</v>
          </cell>
          <cell r="U554">
            <v>-94553.341760002004</v>
          </cell>
          <cell r="V554">
            <v>224170.83367000017</v>
          </cell>
          <cell r="W554">
            <v>56395.262619999827</v>
          </cell>
          <cell r="X554">
            <v>-182716.63879999981</v>
          </cell>
          <cell r="Y554">
            <v>-90446.952910000007</v>
          </cell>
          <cell r="Z554">
            <v>-61516.240350000007</v>
          </cell>
          <cell r="AA554">
            <v>-19333.964059999904</v>
          </cell>
          <cell r="AB554">
            <v>1030038.0647299999</v>
          </cell>
          <cell r="AC554">
            <v>480700.84512000065</v>
          </cell>
          <cell r="AD554">
            <v>-884468.03193000064</v>
          </cell>
          <cell r="AE554">
            <v>1080866.7119700001</v>
          </cell>
          <cell r="AF554">
            <v>237786.12626999989</v>
          </cell>
          <cell r="AG554">
            <v>-1509573.3843700001</v>
          </cell>
          <cell r="AH554">
            <v>-1163302.0348000003</v>
          </cell>
          <cell r="AI554">
            <v>-338025.27865999978</v>
          </cell>
        </row>
        <row r="555">
          <cell r="A555" t="str">
            <v>KFLöpVerksToSQ</v>
          </cell>
          <cell r="C555" t="str">
            <v>Förändringar i den löpande verksamhetens tillgångar och skulder</v>
          </cell>
          <cell r="U555">
            <v>1383124.0609694188</v>
          </cell>
          <cell r="V555">
            <v>-338833.4900573265</v>
          </cell>
          <cell r="W555">
            <v>1667071.6583313413</v>
          </cell>
          <cell r="X555">
            <v>1743100.3143059576</v>
          </cell>
          <cell r="Y555">
            <v>1415719.1540292001</v>
          </cell>
          <cell r="Z555">
            <v>985901.36312166904</v>
          </cell>
          <cell r="AA555">
            <v>-593777.504632583</v>
          </cell>
          <cell r="AB555">
            <v>-988825.54195186216</v>
          </cell>
          <cell r="AC555">
            <v>11728703.426435167</v>
          </cell>
          <cell r="AD555">
            <v>-4240710.7609590665</v>
          </cell>
          <cell r="AE555">
            <v>-3590910.8566759517</v>
          </cell>
          <cell r="AF555">
            <v>473274.57933842886</v>
          </cell>
          <cell r="AG555">
            <v>3014620.1661482425</v>
          </cell>
          <cell r="AH555">
            <v>-2233981.7881724904</v>
          </cell>
          <cell r="AI555">
            <v>4293158.5009027096</v>
          </cell>
        </row>
        <row r="556">
          <cell r="A556" t="str">
            <v>KFLöpVerksQ</v>
          </cell>
          <cell r="C556" t="str">
            <v>Kassaflöde från den löpande verksamheten</v>
          </cell>
          <cell r="U556">
            <v>1412789.7207600013</v>
          </cell>
          <cell r="V556">
            <v>-19904.310680998489</v>
          </cell>
          <cell r="W556">
            <v>1860490.0302399995</v>
          </cell>
          <cell r="X556">
            <v>1641906.8788297975</v>
          </cell>
          <cell r="Y556">
            <v>1431553.2148899937</v>
          </cell>
          <cell r="Z556">
            <v>1047718.1571900479</v>
          </cell>
          <cell r="AA556">
            <v>-444774.73031003703</v>
          </cell>
          <cell r="AB556">
            <v>195119.93587997579</v>
          </cell>
          <cell r="AC556">
            <v>12585096.105190011</v>
          </cell>
          <cell r="AD556">
            <v>-4764901.7997199921</v>
          </cell>
          <cell r="AE556">
            <v>-2099532.4437100105</v>
          </cell>
          <cell r="AF556">
            <v>1219696.0216600418</v>
          </cell>
          <cell r="AG556">
            <v>2278561.2747233645</v>
          </cell>
          <cell r="AH556">
            <v>-2842921.6763700461</v>
          </cell>
          <cell r="AI556">
            <v>4547466.9518499663</v>
          </cell>
        </row>
        <row r="557">
          <cell r="C557" t="str">
            <v>Investeringsverksamheten</v>
          </cell>
        </row>
        <row r="558">
          <cell r="A558" t="str">
            <v>FörvAvyImmMatAnltillgQ</v>
          </cell>
          <cell r="C558" t="str">
            <v>Förvärv och avyttringar av immateriella och materiella anläggningstillgångar</v>
          </cell>
          <cell r="U558">
            <v>-10715.01269</v>
          </cell>
          <cell r="V558">
            <v>-4497.864189999993</v>
          </cell>
          <cell r="W558">
            <v>-3702.9552100000292</v>
          </cell>
          <cell r="X558">
            <v>-6514</v>
          </cell>
          <cell r="Y558">
            <v>-1582.2248400000001</v>
          </cell>
          <cell r="Z558">
            <v>-1941.0139999999953</v>
          </cell>
          <cell r="AA558">
            <v>-1304.6147400000182</v>
          </cell>
          <cell r="AB558">
            <v>-4613.7580000000007</v>
          </cell>
          <cell r="AC558">
            <v>-6815.0317499999946</v>
          </cell>
          <cell r="AD558">
            <v>-25597.611049999963</v>
          </cell>
          <cell r="AE558">
            <v>-12735.154350000033</v>
          </cell>
          <cell r="AF558">
            <v>-17407.542120000009</v>
          </cell>
          <cell r="AG558">
            <v>-19014.914250000005</v>
          </cell>
          <cell r="AH558">
            <v>-32673.14799999999</v>
          </cell>
          <cell r="AI558">
            <v>-32229.15075000003</v>
          </cell>
        </row>
        <row r="559">
          <cell r="A559" t="str">
            <v>FörvAktAndQ</v>
          </cell>
          <cell r="C559" t="str">
            <v>Förvärv av aktier och andelar</v>
          </cell>
          <cell r="V559">
            <v>-1008</v>
          </cell>
          <cell r="W559">
            <v>-5000</v>
          </cell>
          <cell r="X559">
            <v>-39965</v>
          </cell>
        </row>
        <row r="560">
          <cell r="A560" t="str">
            <v>InvStatQ</v>
          </cell>
          <cell r="C560" t="str">
            <v>Investering i belåningsbara statsskuldförbindelser</v>
          </cell>
          <cell r="AC560">
            <v>-7936000</v>
          </cell>
          <cell r="AD560">
            <v>6007000</v>
          </cell>
          <cell r="AE560">
            <v>842000</v>
          </cell>
          <cell r="AF560">
            <v>842000</v>
          </cell>
          <cell r="AG560">
            <v>-1276000</v>
          </cell>
          <cell r="AH560">
            <v>93000</v>
          </cell>
          <cell r="AI560">
            <v>-701000</v>
          </cell>
        </row>
        <row r="561">
          <cell r="A561" t="str">
            <v>InvOblQ</v>
          </cell>
          <cell r="C561" t="str">
            <v>Investering i obligationer</v>
          </cell>
          <cell r="U561">
            <v>-665205.90800000005</v>
          </cell>
          <cell r="V561">
            <v>-248475.28600000101</v>
          </cell>
          <cell r="W561">
            <v>-1796083.1069999996</v>
          </cell>
          <cell r="X561">
            <v>203757.49000000209</v>
          </cell>
          <cell r="Y561">
            <v>-2556810.7049199999</v>
          </cell>
          <cell r="Z561">
            <v>-1183696.655080002</v>
          </cell>
          <cell r="AA561">
            <v>490727.12454999954</v>
          </cell>
          <cell r="AB561">
            <v>440324.41476000031</v>
          </cell>
          <cell r="AC561">
            <v>-5081306.8299999982</v>
          </cell>
          <cell r="AD561">
            <v>-803305.40699999942</v>
          </cell>
          <cell r="AE561">
            <v>47858.336469999442</v>
          </cell>
          <cell r="AF561">
            <v>199579.32521095921</v>
          </cell>
          <cell r="AG561">
            <v>482529.21700000187</v>
          </cell>
          <cell r="AH561">
            <v>666943.85084999842</v>
          </cell>
          <cell r="AI561">
            <v>-1944596.5080000013</v>
          </cell>
        </row>
        <row r="562">
          <cell r="A562" t="str">
            <v>KFInvQ</v>
          </cell>
          <cell r="C562" t="str">
            <v>Kassaflöde från investeringsverksamheten</v>
          </cell>
          <cell r="U562">
            <v>-675920.92069000006</v>
          </cell>
          <cell r="V562">
            <v>-253981.150190001</v>
          </cell>
          <cell r="W562">
            <v>-1804786.0622099997</v>
          </cell>
          <cell r="X562">
            <v>157278.49000000209</v>
          </cell>
          <cell r="Y562">
            <v>-2558392.9297599997</v>
          </cell>
          <cell r="Z562">
            <v>-1185637.669080002</v>
          </cell>
          <cell r="AA562">
            <v>489422.50980999955</v>
          </cell>
          <cell r="AB562">
            <v>435710.65676000033</v>
          </cell>
          <cell r="AC562">
            <v>-13024121.861749999</v>
          </cell>
          <cell r="AD562">
            <v>5178096.9819499999</v>
          </cell>
          <cell r="AE562">
            <v>877123.18211999931</v>
          </cell>
          <cell r="AF562">
            <v>1024171.7830909592</v>
          </cell>
          <cell r="AG562">
            <v>-812485.69724999811</v>
          </cell>
          <cell r="AH562">
            <v>727270.70284999837</v>
          </cell>
          <cell r="AI562">
            <v>-2677825.6587500013</v>
          </cell>
        </row>
        <row r="563">
          <cell r="C563" t="str">
            <v>Finansieringsverksamheten</v>
          </cell>
        </row>
        <row r="564">
          <cell r="A564" t="str">
            <v>AmortleasQ</v>
          </cell>
          <cell r="C564" t="str">
            <v>Amortering leasingskulder</v>
          </cell>
          <cell r="AC564">
            <v>-8636.0820000000003</v>
          </cell>
          <cell r="AD564">
            <v>-18785.031999999999</v>
          </cell>
          <cell r="AE564">
            <v>-12224.557000000001</v>
          </cell>
          <cell r="AF564">
            <v>-11162.569</v>
          </cell>
          <cell r="AG564">
            <v>-8000.262999999999</v>
          </cell>
          <cell r="AH564">
            <v>-9581.4159999999993</v>
          </cell>
          <cell r="AI564">
            <v>-9581.4159999999993</v>
          </cell>
        </row>
        <row r="565">
          <cell r="A565" t="str">
            <v>UtdQ</v>
          </cell>
          <cell r="C565" t="str">
            <v>Utdelning kontant</v>
          </cell>
          <cell r="U565">
            <v>-314960.33100000001</v>
          </cell>
          <cell r="V565">
            <v>0</v>
          </cell>
          <cell r="W565">
            <v>0</v>
          </cell>
          <cell r="X565">
            <v>0</v>
          </cell>
          <cell r="Y565">
            <v>-317866.45799999998</v>
          </cell>
          <cell r="AA565">
            <v>0</v>
          </cell>
          <cell r="AB565">
            <v>0</v>
          </cell>
          <cell r="AC565">
            <v>-353708.46386999998</v>
          </cell>
          <cell r="AG565">
            <v>-131710.90849999999</v>
          </cell>
        </row>
        <row r="566">
          <cell r="A566" t="str">
            <v>FörlQ</v>
          </cell>
          <cell r="C566" t="str">
            <v>Förlagslån</v>
          </cell>
          <cell r="U566">
            <v>50.865209999988998</v>
          </cell>
          <cell r="V566">
            <v>50.865210000018124</v>
          </cell>
          <cell r="W566">
            <v>50.86520999998902</v>
          </cell>
          <cell r="X566">
            <v>50.865210000003572</v>
          </cell>
          <cell r="Y566">
            <v>50.865149999997797</v>
          </cell>
          <cell r="Z566">
            <v>50.865139999994426</v>
          </cell>
          <cell r="AA566">
            <v>50.865210000003572</v>
          </cell>
          <cell r="AB566">
            <v>50.865210000003572</v>
          </cell>
          <cell r="AC566">
            <v>50.865210000003572</v>
          </cell>
          <cell r="AD566">
            <v>50.86520999998902</v>
          </cell>
          <cell r="AE566">
            <v>50.865210000003572</v>
          </cell>
          <cell r="AF566">
            <v>-99966.08971</v>
          </cell>
        </row>
        <row r="567">
          <cell r="A567" t="str">
            <v>KFNyemQ</v>
          </cell>
          <cell r="C567" t="str">
            <v>Nyemission</v>
          </cell>
          <cell r="W567">
            <v>108382</v>
          </cell>
          <cell r="AA567">
            <v>182570</v>
          </cell>
          <cell r="AB567">
            <v>0</v>
          </cell>
          <cell r="AC567">
            <v>0</v>
          </cell>
          <cell r="AE567">
            <v>100654.70600000001</v>
          </cell>
          <cell r="AI567">
            <v>62640</v>
          </cell>
        </row>
        <row r="568">
          <cell r="A568" t="str">
            <v>KFEmTOQ</v>
          </cell>
          <cell r="C568" t="str">
            <v>Emission av teckningsoptioner</v>
          </cell>
          <cell r="W568">
            <v>4637.4679999999998</v>
          </cell>
          <cell r="AA568">
            <v>4380</v>
          </cell>
          <cell r="AB568">
            <v>0</v>
          </cell>
          <cell r="AC568">
            <v>0</v>
          </cell>
          <cell r="AE568">
            <v>5837</v>
          </cell>
          <cell r="AI568">
            <v>11429.59</v>
          </cell>
        </row>
        <row r="569">
          <cell r="A569" t="str">
            <v>KFFinQ</v>
          </cell>
          <cell r="C569" t="str">
            <v>Kassaflöde från finansieringsverksamheten</v>
          </cell>
          <cell r="U569">
            <v>-314909.46579000005</v>
          </cell>
          <cell r="V569">
            <v>50.865210000018124</v>
          </cell>
          <cell r="W569">
            <v>113070.33320999998</v>
          </cell>
          <cell r="X569">
            <v>50.865210000003572</v>
          </cell>
          <cell r="Y569">
            <v>-317815.59285000002</v>
          </cell>
          <cell r="Z569">
            <v>50.865139999994426</v>
          </cell>
          <cell r="AA569">
            <v>187000.86521000002</v>
          </cell>
          <cell r="AB569">
            <v>50.865210000003572</v>
          </cell>
          <cell r="AC569">
            <v>-362293.68065999995</v>
          </cell>
          <cell r="AD569">
            <v>-18734.16679000001</v>
          </cell>
          <cell r="AE569">
            <v>94318.014210000008</v>
          </cell>
          <cell r="AF569">
            <v>-111128.65871</v>
          </cell>
          <cell r="AG569">
            <v>-139711.1715</v>
          </cell>
          <cell r="AH569">
            <v>-9581.4159999999993</v>
          </cell>
          <cell r="AI569">
            <v>64488.173999999999</v>
          </cell>
        </row>
        <row r="570">
          <cell r="A570" t="str">
            <v>KFPeriodQ</v>
          </cell>
          <cell r="C570" t="str">
            <v>Periodens kassaflöde</v>
          </cell>
          <cell r="U570">
            <v>421959.33428000123</v>
          </cell>
          <cell r="V570">
            <v>-273834.59566099948</v>
          </cell>
          <cell r="W570">
            <v>168774.30123999986</v>
          </cell>
          <cell r="X570">
            <v>1799236.2340397995</v>
          </cell>
          <cell r="Y570">
            <v>-1444655.307720006</v>
          </cell>
          <cell r="Z570">
            <v>-137868.64674995409</v>
          </cell>
          <cell r="AA570">
            <v>231648.64470996254</v>
          </cell>
          <cell r="AB570">
            <v>630881.45784997614</v>
          </cell>
          <cell r="AC570">
            <v>-801319.43721998844</v>
          </cell>
          <cell r="AD570">
            <v>394461.01544000785</v>
          </cell>
          <cell r="AE570">
            <v>-1128091.2473800112</v>
          </cell>
          <cell r="AF570">
            <v>2132739.1460410007</v>
          </cell>
          <cell r="AG570">
            <v>1326364.4059733665</v>
          </cell>
          <cell r="AH570">
            <v>-2125232.3895200482</v>
          </cell>
          <cell r="AI570">
            <v>1934129.4670999651</v>
          </cell>
        </row>
        <row r="572">
          <cell r="A572" t="str">
            <v>LikvIBQ</v>
          </cell>
          <cell r="C572" t="str">
            <v>Likvida medel vid periodens början</v>
          </cell>
          <cell r="T572">
            <v>0</v>
          </cell>
          <cell r="U572">
            <v>1681194.9219799994</v>
          </cell>
          <cell r="V572">
            <v>2102612.8295500018</v>
          </cell>
          <cell r="W572">
            <v>1828871.7947299997</v>
          </cell>
          <cell r="X572">
            <v>1997648.9137399998</v>
          </cell>
          <cell r="Y572">
            <v>3796884.113559999</v>
          </cell>
          <cell r="Z572">
            <v>2352229.1235099994</v>
          </cell>
          <cell r="AA572">
            <v>2214360.0759999985</v>
          </cell>
          <cell r="AB572">
            <v>2446008.5804100009</v>
          </cell>
          <cell r="AC572">
            <v>3076889.6564500001</v>
          </cell>
          <cell r="AD572">
            <v>2275612.8938799994</v>
          </cell>
          <cell r="AE572">
            <v>2670030.9392800019</v>
          </cell>
          <cell r="AF572">
            <v>1541839.4607599997</v>
          </cell>
          <cell r="AG572">
            <v>3674588.852140001</v>
          </cell>
          <cell r="AH572">
            <v>5000427.0436100001</v>
          </cell>
          <cell r="AI572">
            <v>2875194.6020100019</v>
          </cell>
        </row>
        <row r="573">
          <cell r="A573" t="str">
            <v>LikvUBQ</v>
          </cell>
          <cell r="C573" t="str">
            <v>Likvida medel vid periodens slut</v>
          </cell>
          <cell r="T573">
            <v>1681194.9219799994</v>
          </cell>
          <cell r="U573">
            <v>2102612.8295500018</v>
          </cell>
          <cell r="V573">
            <v>1828871.7947299997</v>
          </cell>
          <cell r="W573">
            <v>1997648.9137399998</v>
          </cell>
          <cell r="X573">
            <v>3796884.113559999</v>
          </cell>
          <cell r="Y573">
            <v>2352229.1235099994</v>
          </cell>
          <cell r="Z573">
            <v>2214360.0759999985</v>
          </cell>
          <cell r="AA573">
            <v>2446008.5804100009</v>
          </cell>
          <cell r="AB573">
            <v>3076889.6564500001</v>
          </cell>
          <cell r="AC573">
            <v>2275612.8938799994</v>
          </cell>
          <cell r="AD573">
            <v>2670030.9392800019</v>
          </cell>
          <cell r="AE573">
            <v>1541839.4607599997</v>
          </cell>
          <cell r="AF573">
            <v>3674588.852140001</v>
          </cell>
          <cell r="AG573">
            <v>5000427.0436100001</v>
          </cell>
          <cell r="AH573">
            <v>2875194.6020100019</v>
          </cell>
          <cell r="AI573">
            <v>4809323.9334099982</v>
          </cell>
        </row>
        <row r="574">
          <cell r="C574" t="str">
            <v>Check</v>
          </cell>
          <cell r="T574">
            <v>1681194.9219799994</v>
          </cell>
          <cell r="U574">
            <v>-541.42670999886468</v>
          </cell>
          <cell r="V574">
            <v>93.560840997437481</v>
          </cell>
          <cell r="W574">
            <v>2.8177700001688208</v>
          </cell>
          <cell r="X574">
            <v>-1.0342198002617806</v>
          </cell>
          <cell r="Y574">
            <v>0.31767000630497932</v>
          </cell>
          <cell r="Z574">
            <v>-0.40076004678849131</v>
          </cell>
          <cell r="AA574">
            <v>-0.14029996015597135</v>
          </cell>
          <cell r="AB574">
            <v>-0.38180997688323259</v>
          </cell>
          <cell r="AC574">
            <v>42.674649987719022</v>
          </cell>
          <cell r="AD574">
            <v>-42.970040005340707</v>
          </cell>
          <cell r="AE574">
            <v>-100.23113999096677</v>
          </cell>
          <cell r="AF574">
            <v>10.245339000597596</v>
          </cell>
          <cell r="AG574">
            <v>-526.21450336743146</v>
          </cell>
          <cell r="AH574">
            <v>-5.2079949993640184E-2</v>
          </cell>
          <cell r="AI574">
            <v>-0.13569996878504753</v>
          </cell>
        </row>
        <row r="576">
          <cell r="A576" t="str">
            <v>StSäkerheterUBQ</v>
          </cell>
          <cell r="C576" t="str">
            <v>Ställda säkerheter vid periodens slut</v>
          </cell>
          <cell r="H576">
            <v>752000</v>
          </cell>
          <cell r="I576">
            <v>796000</v>
          </cell>
          <cell r="J576">
            <v>758000</v>
          </cell>
          <cell r="K576">
            <v>789000</v>
          </cell>
          <cell r="L576">
            <v>102388</v>
          </cell>
          <cell r="M576">
            <v>75250</v>
          </cell>
          <cell r="N576">
            <v>273307.83100000001</v>
          </cell>
          <cell r="O576">
            <v>140622.49299999999</v>
          </cell>
          <cell r="P576">
            <v>129757.139</v>
          </cell>
          <cell r="Q576">
            <v>142878.08900000001</v>
          </cell>
          <cell r="R576">
            <v>47624.852169999998</v>
          </cell>
          <cell r="S576">
            <v>42460.399799999999</v>
          </cell>
          <cell r="T576">
            <v>49696.855069999998</v>
          </cell>
          <cell r="U576">
            <v>22818.3</v>
          </cell>
          <cell r="V576">
            <v>23027.564999999999</v>
          </cell>
          <cell r="W576">
            <v>23809.382000000001</v>
          </cell>
          <cell r="X576">
            <v>23867.835999999999</v>
          </cell>
          <cell r="Y576">
            <v>239409.106</v>
          </cell>
          <cell r="Z576">
            <v>25430.878239999998</v>
          </cell>
          <cell r="AA576">
            <v>27614.714</v>
          </cell>
          <cell r="AB576">
            <v>29104.523000000001</v>
          </cell>
          <cell r="AC576">
            <v>79887.930489999999</v>
          </cell>
          <cell r="AD576">
            <v>47803.372620000002</v>
          </cell>
          <cell r="AE576">
            <v>25381.109329999999</v>
          </cell>
          <cell r="AF576">
            <v>25375.781780000001</v>
          </cell>
          <cell r="AG576">
            <v>25291.495999999999</v>
          </cell>
          <cell r="AH576">
            <v>227832.74961999999</v>
          </cell>
          <cell r="AI576">
            <v>428794.43303000001</v>
          </cell>
        </row>
        <row r="578">
          <cell r="C578" t="str">
            <v>Koncernens kassaflöde (kSEK) - YTD</v>
          </cell>
        </row>
        <row r="579">
          <cell r="C579" t="str">
            <v>Den löpande verksamheten</v>
          </cell>
        </row>
        <row r="580">
          <cell r="C580" t="str">
            <v>Rörelseresultat före skatt</v>
          </cell>
          <cell r="U580">
            <v>119507.42088058458</v>
          </cell>
          <cell r="V580">
            <v>209426.55643691242</v>
          </cell>
          <cell r="W580">
            <v>341518.38276557089</v>
          </cell>
          <cell r="X580">
            <v>417867.06066941062</v>
          </cell>
          <cell r="Y580">
            <v>99964.260500793534</v>
          </cell>
          <cell r="Z580">
            <v>217424.49532917241</v>
          </cell>
          <cell r="AA580">
            <v>379948.95368171833</v>
          </cell>
          <cell r="AB580">
            <v>520015.69452355616</v>
          </cell>
          <cell r="AC580">
            <v>360894.54525484249</v>
          </cell>
          <cell r="AD580">
            <v>694088.99658391776</v>
          </cell>
          <cell r="AE580">
            <v>1090549.490619859</v>
          </cell>
          <cell r="AF580">
            <v>1576488.7021314721</v>
          </cell>
          <cell r="AG580">
            <v>755741.80596512207</v>
          </cell>
          <cell r="AH580">
            <v>1292092.2362475661</v>
          </cell>
          <cell r="AI580">
            <v>1866042.3596348218</v>
          </cell>
        </row>
        <row r="581">
          <cell r="A581" t="str">
            <v>JustEjKFYTD</v>
          </cell>
          <cell r="C581" t="str">
            <v>Justering för poster som ej ingår i kassaflödet</v>
          </cell>
          <cell r="U581">
            <v>4711.5806700000003</v>
          </cell>
          <cell r="V581">
            <v>9550.7908200000002</v>
          </cell>
          <cell r="W581">
            <v>14482.073780000017</v>
          </cell>
          <cell r="X581">
            <v>19656.599200000026</v>
          </cell>
          <cell r="Y581">
            <v>6316.7532700000002</v>
          </cell>
          <cell r="Z581">
            <v>12189.552859999993</v>
          </cell>
          <cell r="AA581">
            <v>18001.832889999998</v>
          </cell>
          <cell r="AB581">
            <v>31842.505150000179</v>
          </cell>
          <cell r="AC581">
            <v>14797.28838</v>
          </cell>
          <cell r="AD581">
            <v>41879.830219999996</v>
          </cell>
          <cell r="AE581">
            <v>55931.037179999985</v>
          </cell>
          <cell r="AF581">
            <v>78627.141719999985</v>
          </cell>
          <cell r="AG581">
            <v>17772.686979999999</v>
          </cell>
          <cell r="AH581">
            <v>35784.403300000486</v>
          </cell>
          <cell r="AI581">
            <v>54168.009520000895</v>
          </cell>
        </row>
        <row r="582">
          <cell r="A582" t="str">
            <v>KFBetaldSkattYTD</v>
          </cell>
          <cell r="C582" t="str">
            <v>Betald skatt</v>
          </cell>
          <cell r="U582">
            <v>-94553.341760002004</v>
          </cell>
          <cell r="V582">
            <v>129617.49190999816</v>
          </cell>
          <cell r="W582">
            <v>186012.754529998</v>
          </cell>
          <cell r="X582">
            <v>3296.115729998186</v>
          </cell>
          <cell r="Y582">
            <v>-90446.952910000007</v>
          </cell>
          <cell r="Z582">
            <v>-151963.19326000003</v>
          </cell>
          <cell r="AA582">
            <v>-171297.15731999994</v>
          </cell>
          <cell r="AB582">
            <v>858740.90740999999</v>
          </cell>
          <cell r="AC582">
            <v>480700.84512000065</v>
          </cell>
          <cell r="AD582">
            <v>-403767.18680999998</v>
          </cell>
          <cell r="AE582">
            <v>677099.52516000008</v>
          </cell>
          <cell r="AF582">
            <v>914885.65142999997</v>
          </cell>
          <cell r="AG582">
            <v>-1509573.3843700001</v>
          </cell>
          <cell r="AH582">
            <v>-2672875.4191700006</v>
          </cell>
          <cell r="AI582">
            <v>-3010900.6978300004</v>
          </cell>
        </row>
        <row r="583">
          <cell r="A583" t="str">
            <v>KFLöpVerksToSYTD</v>
          </cell>
          <cell r="C583" t="str">
            <v>Förändringar i den löpande verksamhetens tillgångar och skulder</v>
          </cell>
          <cell r="U583">
            <v>1383124.0609694188</v>
          </cell>
          <cell r="V583">
            <v>1044290.5709120923</v>
          </cell>
          <cell r="W583">
            <v>2711362.2292434336</v>
          </cell>
          <cell r="X583">
            <v>4454462.5435493914</v>
          </cell>
          <cell r="Y583">
            <v>1415719.1540292001</v>
          </cell>
          <cell r="Z583">
            <v>2401620.5171508691</v>
          </cell>
          <cell r="AA583">
            <v>1807843.0125182862</v>
          </cell>
          <cell r="AB583">
            <v>819017.47056642408</v>
          </cell>
          <cell r="AC583">
            <v>11728703.426435167</v>
          </cell>
          <cell r="AD583">
            <v>7487992.6654761005</v>
          </cell>
          <cell r="AE583">
            <v>3897081.8088001488</v>
          </cell>
          <cell r="AF583">
            <v>4370356.3881385773</v>
          </cell>
          <cell r="AG583">
            <v>3014620.1661482425</v>
          </cell>
          <cell r="AH583">
            <v>780638.37797575211</v>
          </cell>
          <cell r="AI583">
            <v>5073796.8788784612</v>
          </cell>
        </row>
        <row r="584">
          <cell r="A584" t="str">
            <v>KFLöpVerksYTD</v>
          </cell>
          <cell r="C584" t="str">
            <v>Kassaflöde från den löpande verksamheten</v>
          </cell>
          <cell r="U584">
            <v>1412789.7207600013</v>
          </cell>
          <cell r="V584">
            <v>1392885.4100790028</v>
          </cell>
          <cell r="W584">
            <v>3253375.4403190026</v>
          </cell>
          <cell r="X584">
            <v>4895282.3191488003</v>
          </cell>
          <cell r="Y584">
            <v>1431553.2148899937</v>
          </cell>
          <cell r="Z584">
            <v>2479271.3720800416</v>
          </cell>
          <cell r="AA584">
            <v>2034496.6417700045</v>
          </cell>
          <cell r="AB584">
            <v>2229616.5776499803</v>
          </cell>
          <cell r="AC584">
            <v>12585096.105190011</v>
          </cell>
          <cell r="AD584">
            <v>7820194.3054700186</v>
          </cell>
          <cell r="AE584">
            <v>5720661.8617600081</v>
          </cell>
          <cell r="AF584">
            <v>6940357.8834200501</v>
          </cell>
          <cell r="AG584">
            <v>2278561.2747233645</v>
          </cell>
          <cell r="AH584">
            <v>-564360.4016466816</v>
          </cell>
          <cell r="AI584">
            <v>3983106.5502032847</v>
          </cell>
        </row>
        <row r="585">
          <cell r="C585" t="str">
            <v>Investeringsverksamheten</v>
          </cell>
        </row>
        <row r="586">
          <cell r="A586" t="str">
            <v>FörvAvyImmMatAnltillgYTD</v>
          </cell>
          <cell r="C586" t="str">
            <v>Förvärv och avyttringar av immateriella och materiella anläggningstillgångar</v>
          </cell>
          <cell r="U586">
            <v>-10715.01269</v>
          </cell>
          <cell r="V586">
            <v>-15212.876879999993</v>
          </cell>
          <cell r="W586">
            <v>-18915.832090000022</v>
          </cell>
          <cell r="X586">
            <v>-25429.832090000022</v>
          </cell>
          <cell r="Y586">
            <v>-1582.2248400000001</v>
          </cell>
          <cell r="Z586">
            <v>-3523.2388399999954</v>
          </cell>
          <cell r="AA586">
            <v>-4827.8535800000136</v>
          </cell>
          <cell r="AB586">
            <v>-9441.6115800000152</v>
          </cell>
          <cell r="AC586">
            <v>-6815.0317499999946</v>
          </cell>
          <cell r="AD586">
            <v>-32412.642799999958</v>
          </cell>
          <cell r="AE586">
            <v>-45147.797149999991</v>
          </cell>
          <cell r="AF586">
            <v>-62555.339269999997</v>
          </cell>
          <cell r="AG586">
            <v>-19014.914250000005</v>
          </cell>
          <cell r="AH586">
            <v>-51688.062249999995</v>
          </cell>
          <cell r="AI586">
            <v>-83917.213000000018</v>
          </cell>
        </row>
        <row r="587">
          <cell r="A587" t="str">
            <v>FörvAktAndYTD</v>
          </cell>
          <cell r="C587" t="str">
            <v>Förvärv av aktier och andelar</v>
          </cell>
          <cell r="U587">
            <v>0</v>
          </cell>
          <cell r="V587">
            <v>-1008</v>
          </cell>
          <cell r="W587">
            <v>-6008</v>
          </cell>
          <cell r="X587">
            <v>-45973</v>
          </cell>
          <cell r="Y587">
            <v>0</v>
          </cell>
          <cell r="Z587">
            <v>0</v>
          </cell>
          <cell r="AA587">
            <v>0</v>
          </cell>
          <cell r="AB587">
            <v>0</v>
          </cell>
          <cell r="AC587">
            <v>0</v>
          </cell>
          <cell r="AD587">
            <v>0</v>
          </cell>
          <cell r="AE587">
            <v>0</v>
          </cell>
          <cell r="AF587">
            <v>0</v>
          </cell>
          <cell r="AG587">
            <v>0</v>
          </cell>
          <cell r="AH587">
            <v>0</v>
          </cell>
          <cell r="AI587">
            <v>0</v>
          </cell>
        </row>
        <row r="588">
          <cell r="A588" t="str">
            <v>InvStatYTD</v>
          </cell>
          <cell r="C588" t="str">
            <v>Investering i belåningsbara statsskuldförbindelser</v>
          </cell>
          <cell r="U588">
            <v>0</v>
          </cell>
          <cell r="V588">
            <v>0</v>
          </cell>
          <cell r="W588">
            <v>0</v>
          </cell>
          <cell r="X588">
            <v>0</v>
          </cell>
          <cell r="Y588">
            <v>0</v>
          </cell>
          <cell r="Z588">
            <v>0</v>
          </cell>
          <cell r="AA588">
            <v>0</v>
          </cell>
          <cell r="AB588">
            <v>0</v>
          </cell>
          <cell r="AC588">
            <v>-7936000</v>
          </cell>
          <cell r="AD588">
            <v>-1929000</v>
          </cell>
          <cell r="AE588">
            <v>-1087000</v>
          </cell>
          <cell r="AF588">
            <v>-245000</v>
          </cell>
          <cell r="AG588">
            <v>-1276000</v>
          </cell>
          <cell r="AH588">
            <v>-1183000</v>
          </cell>
          <cell r="AI588">
            <v>-1884000</v>
          </cell>
        </row>
        <row r="589">
          <cell r="A589" t="str">
            <v>InvOblYTD</v>
          </cell>
          <cell r="C589" t="str">
            <v>Investering i obligationer</v>
          </cell>
          <cell r="U589">
            <v>-665205.90800000005</v>
          </cell>
          <cell r="V589">
            <v>-913681.19400000107</v>
          </cell>
          <cell r="W589">
            <v>-2709764.3010000009</v>
          </cell>
          <cell r="X589">
            <v>-2506006.8109999988</v>
          </cell>
          <cell r="Y589">
            <v>-2556810.7049199999</v>
          </cell>
          <cell r="Z589">
            <v>-3740507.3600000022</v>
          </cell>
          <cell r="AA589">
            <v>-3249780.2354500028</v>
          </cell>
          <cell r="AB589">
            <v>-2809455.8206900023</v>
          </cell>
          <cell r="AC589">
            <v>-5081306.8299999982</v>
          </cell>
          <cell r="AD589">
            <v>-5884612.2369999979</v>
          </cell>
          <cell r="AE589">
            <v>-5836753.9005299984</v>
          </cell>
          <cell r="AF589">
            <v>-5637174.5753190387</v>
          </cell>
          <cell r="AG589">
            <v>482529.21700000187</v>
          </cell>
          <cell r="AH589">
            <v>1149473.0678500002</v>
          </cell>
          <cell r="AI589">
            <v>-795123.44015000109</v>
          </cell>
        </row>
        <row r="590">
          <cell r="A590" t="str">
            <v>KFInvYTD</v>
          </cell>
          <cell r="C590" t="str">
            <v>Kassaflöde från investeringsverksamheten</v>
          </cell>
          <cell r="U590">
            <v>-675920.92069000006</v>
          </cell>
          <cell r="V590">
            <v>-929902.07088000106</v>
          </cell>
          <cell r="W590">
            <v>-2734688.1330900006</v>
          </cell>
          <cell r="X590">
            <v>-2577409.6430899985</v>
          </cell>
          <cell r="Y590">
            <v>-2558392.9297599997</v>
          </cell>
          <cell r="Z590">
            <v>-3744030.598840002</v>
          </cell>
          <cell r="AA590">
            <v>-3254608.0890300022</v>
          </cell>
          <cell r="AB590">
            <v>-2818897.4322700021</v>
          </cell>
          <cell r="AC590">
            <v>-13024121.861749999</v>
          </cell>
          <cell r="AD590">
            <v>-7846024.8797999993</v>
          </cell>
          <cell r="AE590">
            <v>-6968901.6976800002</v>
          </cell>
          <cell r="AF590">
            <v>-5944729.9145890409</v>
          </cell>
          <cell r="AG590">
            <v>-812485.69724999811</v>
          </cell>
          <cell r="AH590">
            <v>-85214.994399999734</v>
          </cell>
          <cell r="AI590">
            <v>-2763040.6531500011</v>
          </cell>
        </row>
        <row r="591">
          <cell r="C591" t="str">
            <v>Finansieringsverksamheten</v>
          </cell>
        </row>
        <row r="592">
          <cell r="A592" t="str">
            <v>AmortleasYTD</v>
          </cell>
          <cell r="C592" t="str">
            <v>Amortering leasingskulder</v>
          </cell>
          <cell r="AC592">
            <v>-8636.0820000000003</v>
          </cell>
          <cell r="AD592">
            <v>-27421.114000000001</v>
          </cell>
          <cell r="AE592">
            <v>-39645.671000000002</v>
          </cell>
          <cell r="AF592">
            <v>-50808.240000000005</v>
          </cell>
          <cell r="AG592">
            <v>-8000.262999999999</v>
          </cell>
          <cell r="AH592">
            <v>-17581.678999999996</v>
          </cell>
          <cell r="AI592">
            <v>-27163.094999999994</v>
          </cell>
        </row>
        <row r="593">
          <cell r="A593" t="str">
            <v>UtdYTD</v>
          </cell>
          <cell r="C593" t="str">
            <v>Utdelning kontant</v>
          </cell>
          <cell r="U593">
            <v>-314960.33100000001</v>
          </cell>
          <cell r="V593">
            <v>-314960.33100000001</v>
          </cell>
          <cell r="W593">
            <v>-314960.33100000001</v>
          </cell>
          <cell r="X593">
            <v>-314960.33100000001</v>
          </cell>
          <cell r="Y593">
            <v>-317866.45799999998</v>
          </cell>
          <cell r="Z593">
            <v>-317866.45799999998</v>
          </cell>
          <cell r="AA593">
            <v>-317866.45799999998</v>
          </cell>
          <cell r="AB593">
            <v>-317866.45799999998</v>
          </cell>
          <cell r="AC593">
            <v>-353708.46386999998</v>
          </cell>
          <cell r="AD593">
            <v>-353708.46386999998</v>
          </cell>
          <cell r="AE593">
            <v>-353708.46386999998</v>
          </cell>
          <cell r="AF593">
            <v>-353708.46386999998</v>
          </cell>
          <cell r="AG593">
            <v>-131710.90849999999</v>
          </cell>
          <cell r="AH593">
            <v>-131710.90849999999</v>
          </cell>
          <cell r="AI593">
            <v>-131710.90849999999</v>
          </cell>
        </row>
        <row r="594">
          <cell r="A594" t="str">
            <v>FörlYTD</v>
          </cell>
          <cell r="C594" t="str">
            <v>Förlagslån</v>
          </cell>
          <cell r="U594">
            <v>50.865209999988998</v>
          </cell>
          <cell r="V594">
            <v>101.73042000000711</v>
          </cell>
          <cell r="W594">
            <v>152.59562999999613</v>
          </cell>
          <cell r="X594">
            <v>203.46083999999971</v>
          </cell>
          <cell r="Y594">
            <v>50.865149999997797</v>
          </cell>
          <cell r="Z594">
            <v>101.73028999999222</v>
          </cell>
          <cell r="AA594">
            <v>152.59549999999581</v>
          </cell>
          <cell r="AB594">
            <v>203.46070999999938</v>
          </cell>
          <cell r="AC594">
            <v>50.865210000003572</v>
          </cell>
          <cell r="AD594">
            <v>101.73041999999259</v>
          </cell>
          <cell r="AE594">
            <v>152.59562999999616</v>
          </cell>
          <cell r="AF594">
            <v>-99813.494080000004</v>
          </cell>
          <cell r="AG594">
            <v>0</v>
          </cell>
          <cell r="AH594">
            <v>0</v>
          </cell>
          <cell r="AI594">
            <v>0</v>
          </cell>
        </row>
        <row r="595">
          <cell r="A595" t="str">
            <v>KFNyemYTD</v>
          </cell>
          <cell r="C595" t="str">
            <v>Nyemission</v>
          </cell>
          <cell r="U595">
            <v>0</v>
          </cell>
          <cell r="V595">
            <v>0</v>
          </cell>
          <cell r="W595">
            <v>108382</v>
          </cell>
          <cell r="X595">
            <v>108382</v>
          </cell>
          <cell r="Y595">
            <v>0</v>
          </cell>
          <cell r="Z595">
            <v>0</v>
          </cell>
          <cell r="AA595">
            <v>182570</v>
          </cell>
          <cell r="AB595">
            <v>182570</v>
          </cell>
          <cell r="AC595">
            <v>0</v>
          </cell>
          <cell r="AD595">
            <v>0</v>
          </cell>
          <cell r="AE595">
            <v>100654.70600000001</v>
          </cell>
          <cell r="AF595">
            <v>100654.70600000001</v>
          </cell>
          <cell r="AG595">
            <v>0</v>
          </cell>
          <cell r="AH595">
            <v>0</v>
          </cell>
          <cell r="AI595">
            <v>62640</v>
          </cell>
        </row>
        <row r="596">
          <cell r="A596" t="str">
            <v>KFEmTOYTD</v>
          </cell>
          <cell r="C596" t="str">
            <v>Emission av teckningsoptioner</v>
          </cell>
          <cell r="U596">
            <v>0</v>
          </cell>
          <cell r="V596">
            <v>0</v>
          </cell>
          <cell r="W596">
            <v>4637.4679999999998</v>
          </cell>
          <cell r="X596">
            <v>4637.4679999999998</v>
          </cell>
          <cell r="Y596">
            <v>0</v>
          </cell>
          <cell r="Z596">
            <v>0</v>
          </cell>
          <cell r="AA596">
            <v>4380</v>
          </cell>
          <cell r="AB596">
            <v>4380</v>
          </cell>
          <cell r="AC596">
            <v>0</v>
          </cell>
          <cell r="AD596">
            <v>0</v>
          </cell>
          <cell r="AE596">
            <v>5837</v>
          </cell>
          <cell r="AF596">
            <v>5837</v>
          </cell>
          <cell r="AG596">
            <v>0</v>
          </cell>
          <cell r="AH596">
            <v>0</v>
          </cell>
          <cell r="AI596">
            <v>11429.59</v>
          </cell>
        </row>
        <row r="597">
          <cell r="A597" t="str">
            <v>KFFinYTD</v>
          </cell>
          <cell r="C597" t="str">
            <v>Kassaflöde från finansieringsverksamheten</v>
          </cell>
          <cell r="U597">
            <v>-314909.46579000005</v>
          </cell>
          <cell r="V597">
            <v>-314858.60058000003</v>
          </cell>
          <cell r="W597">
            <v>-201788.26737000005</v>
          </cell>
          <cell r="X597">
            <v>-201737.40216000006</v>
          </cell>
          <cell r="Y597">
            <v>-317815.59285000002</v>
          </cell>
          <cell r="Z597">
            <v>-317764.72771000001</v>
          </cell>
          <cell r="AA597">
            <v>-130763.86249999999</v>
          </cell>
          <cell r="AB597">
            <v>-130712.99728999998</v>
          </cell>
          <cell r="AC597">
            <v>-362293.68065999995</v>
          </cell>
          <cell r="AD597">
            <v>-381027.84744999994</v>
          </cell>
          <cell r="AE597">
            <v>-286709.83323999995</v>
          </cell>
          <cell r="AF597">
            <v>-397838.49194999994</v>
          </cell>
          <cell r="AG597">
            <v>-139711.1715</v>
          </cell>
          <cell r="AH597">
            <v>-149292.58749999999</v>
          </cell>
          <cell r="AI597">
            <v>-84804.413499999995</v>
          </cell>
        </row>
        <row r="598">
          <cell r="A598" t="str">
            <v>KFPeriodYTD</v>
          </cell>
          <cell r="C598" t="str">
            <v>Periodens kassaflöde</v>
          </cell>
          <cell r="U598">
            <v>421959.33428000123</v>
          </cell>
          <cell r="V598">
            <v>148124.73861900176</v>
          </cell>
          <cell r="W598">
            <v>316899.03985900199</v>
          </cell>
          <cell r="X598">
            <v>2116135.2738988018</v>
          </cell>
          <cell r="Y598">
            <v>-1444655.307720006</v>
          </cell>
          <cell r="Z598">
            <v>-1582523.9544699604</v>
          </cell>
          <cell r="AA598">
            <v>-1350875.3097599978</v>
          </cell>
          <cell r="AB598">
            <v>-719993.85191002174</v>
          </cell>
          <cell r="AC598">
            <v>-801319.43721998844</v>
          </cell>
          <cell r="AD598">
            <v>-406858.42177998059</v>
          </cell>
          <cell r="AE598">
            <v>-1534949.6691599921</v>
          </cell>
          <cell r="AF598">
            <v>597789.47688100929</v>
          </cell>
          <cell r="AG598">
            <v>1326364.4059733665</v>
          </cell>
          <cell r="AH598">
            <v>-798867.98354668135</v>
          </cell>
          <cell r="AI598">
            <v>1135261.4835532836</v>
          </cell>
        </row>
        <row r="600">
          <cell r="A600" t="str">
            <v>LikvIBYTD</v>
          </cell>
          <cell r="C600" t="str">
            <v>Likvida medel vid periodens början</v>
          </cell>
          <cell r="T600">
            <v>0</v>
          </cell>
          <cell r="U600">
            <v>1681194.9219799994</v>
          </cell>
          <cell r="V600">
            <v>1681194.9219799994</v>
          </cell>
          <cell r="W600">
            <v>1681194.9219799994</v>
          </cell>
          <cell r="X600">
            <v>1681194.9219799994</v>
          </cell>
          <cell r="Y600">
            <v>3796884.113559999</v>
          </cell>
          <cell r="Z600">
            <v>3796884.113559999</v>
          </cell>
          <cell r="AA600">
            <v>3796884.113559999</v>
          </cell>
          <cell r="AB600">
            <v>3796884.113559999</v>
          </cell>
          <cell r="AC600">
            <v>3076889.6564500001</v>
          </cell>
          <cell r="AD600">
            <v>3076889.6564500001</v>
          </cell>
          <cell r="AE600">
            <v>3076889.6564500001</v>
          </cell>
          <cell r="AF600">
            <v>3076889.6564500001</v>
          </cell>
          <cell r="AG600">
            <v>3674588.852140001</v>
          </cell>
          <cell r="AH600">
            <v>3674588.852140001</v>
          </cell>
          <cell r="AI600">
            <v>3674588.852140001</v>
          </cell>
        </row>
        <row r="601">
          <cell r="A601" t="str">
            <v>LikvUBYTD</v>
          </cell>
          <cell r="C601" t="str">
            <v>Likvida medel vid periodens slut</v>
          </cell>
          <cell r="T601">
            <v>1681194.9219799994</v>
          </cell>
          <cell r="U601">
            <v>2102612.8295500018</v>
          </cell>
          <cell r="V601">
            <v>1828871.7947299997</v>
          </cell>
          <cell r="W601">
            <v>1997648.9137399998</v>
          </cell>
          <cell r="X601">
            <v>3796884.113559999</v>
          </cell>
          <cell r="Y601">
            <v>2352229.1235099994</v>
          </cell>
          <cell r="Z601">
            <v>2214360.0759999985</v>
          </cell>
          <cell r="AA601">
            <v>2446008.5804100009</v>
          </cell>
          <cell r="AB601">
            <v>3076889.6564500001</v>
          </cell>
          <cell r="AC601">
            <v>2275612.8938799994</v>
          </cell>
          <cell r="AD601">
            <v>2670030.9392800019</v>
          </cell>
          <cell r="AE601">
            <v>1541839.4607599997</v>
          </cell>
          <cell r="AF601">
            <v>3674588.852140001</v>
          </cell>
          <cell r="AG601">
            <v>5000427.0436100001</v>
          </cell>
          <cell r="AH601">
            <v>2875194.6020100019</v>
          </cell>
          <cell r="AI601">
            <v>4809323.9334099982</v>
          </cell>
        </row>
        <row r="602">
          <cell r="C602" t="str">
            <v>Check</v>
          </cell>
          <cell r="T602">
            <v>1681194.9219799994</v>
          </cell>
          <cell r="U602">
            <v>-541.42670999886468</v>
          </cell>
          <cell r="V602">
            <v>-447.8658690014272</v>
          </cell>
          <cell r="W602">
            <v>-445.04809900163673</v>
          </cell>
          <cell r="X602">
            <v>-446.08231880236417</v>
          </cell>
          <cell r="Y602">
            <v>0.31767000630497932</v>
          </cell>
          <cell r="Z602">
            <v>-8.3090040134266019E-2</v>
          </cell>
          <cell r="AA602">
            <v>-0.22339000040665269</v>
          </cell>
          <cell r="AB602">
            <v>-0.60519997717346996</v>
          </cell>
          <cell r="AC602">
            <v>42.674649987719022</v>
          </cell>
          <cell r="AD602">
            <v>-0.29539001762168482</v>
          </cell>
          <cell r="AE602">
            <v>-100.52653000829741</v>
          </cell>
          <cell r="AF602">
            <v>-90.281191008398309</v>
          </cell>
          <cell r="AG602">
            <v>-526.21450336743146</v>
          </cell>
          <cell r="AH602">
            <v>-526.26658331777435</v>
          </cell>
          <cell r="AI602">
            <v>-526.40228328644298</v>
          </cell>
        </row>
        <row r="604">
          <cell r="A604" t="str">
            <v>StSäkerheterUBYTD</v>
          </cell>
          <cell r="C604" t="str">
            <v>Ställda säkerheter vid periodens slut</v>
          </cell>
          <cell r="H604">
            <v>752000</v>
          </cell>
          <cell r="I604">
            <v>796000</v>
          </cell>
          <cell r="J604">
            <v>758000</v>
          </cell>
          <cell r="K604">
            <v>789000</v>
          </cell>
          <cell r="L604">
            <v>102388</v>
          </cell>
          <cell r="M604">
            <v>75250</v>
          </cell>
          <cell r="N604">
            <v>273307.83100000001</v>
          </cell>
          <cell r="O604">
            <v>140622.49299999999</v>
          </cell>
          <cell r="P604">
            <v>129757.139</v>
          </cell>
          <cell r="Q604">
            <v>142878.08900000001</v>
          </cell>
          <cell r="R604">
            <v>47624.852169999998</v>
          </cell>
          <cell r="S604">
            <v>42460.399799999999</v>
          </cell>
          <cell r="T604">
            <v>49696.855069999998</v>
          </cell>
          <cell r="U604">
            <v>22818.3</v>
          </cell>
          <cell r="V604">
            <v>23027.564999999999</v>
          </cell>
          <cell r="W604">
            <v>23809.382000000001</v>
          </cell>
          <cell r="X604">
            <v>23867.835999999999</v>
          </cell>
          <cell r="Y604">
            <v>239409.106</v>
          </cell>
          <cell r="Z604">
            <v>25430.878239999998</v>
          </cell>
          <cell r="AA604">
            <v>27614.714</v>
          </cell>
          <cell r="AB604">
            <v>29104.523000000001</v>
          </cell>
          <cell r="AC604">
            <v>79887.930489999999</v>
          </cell>
          <cell r="AD604">
            <v>47803.372620000002</v>
          </cell>
          <cell r="AE604">
            <v>25381.109329999999</v>
          </cell>
          <cell r="AF604">
            <v>25375.781780000001</v>
          </cell>
          <cell r="AG604">
            <v>25291.495999999999</v>
          </cell>
          <cell r="AH604">
            <v>227832.74961999999</v>
          </cell>
          <cell r="AI604">
            <v>428794.43303000001</v>
          </cell>
        </row>
        <row r="608">
          <cell r="C608" t="str">
            <v>Moderbolagets resultaträkning - YTD (kSEK)</v>
          </cell>
        </row>
        <row r="609">
          <cell r="C609" t="str">
            <v>Rörelsens kostnader</v>
          </cell>
        </row>
        <row r="610">
          <cell r="A610" t="str">
            <v>AdminKostnModer</v>
          </cell>
          <cell r="C610" t="str">
            <v>Administrationskostnader</v>
          </cell>
          <cell r="H610">
            <v>-5434.8041599999997</v>
          </cell>
          <cell r="I610">
            <v>-2760.3819299999996</v>
          </cell>
          <cell r="J610">
            <v>-5163</v>
          </cell>
          <cell r="K610">
            <v>-6762</v>
          </cell>
          <cell r="L610">
            <v>-9075.15488</v>
          </cell>
          <cell r="M610">
            <v>-1617.7255300000002</v>
          </cell>
          <cell r="N610">
            <v>-3269.0478400000002</v>
          </cell>
          <cell r="O610">
            <v>-4892.6347299999989</v>
          </cell>
          <cell r="P610">
            <v>-6247.5347000000011</v>
          </cell>
          <cell r="Q610">
            <v>-1756.18218</v>
          </cell>
          <cell r="R610">
            <v>-4064.24791</v>
          </cell>
          <cell r="S610">
            <v>-6276.7066999999988</v>
          </cell>
          <cell r="T610">
            <v>-10685.882900000002</v>
          </cell>
          <cell r="U610">
            <v>-2293.0285499999995</v>
          </cell>
          <cell r="V610">
            <v>-5485.94481</v>
          </cell>
          <cell r="W610">
            <v>-7986.3906200000001</v>
          </cell>
          <cell r="X610">
            <v>-9924.6140000000014</v>
          </cell>
          <cell r="Y610">
            <v>-3217.0211300000001</v>
          </cell>
          <cell r="Z610">
            <v>-7415.3315700000003</v>
          </cell>
          <cell r="AA610">
            <v>-10390.001240000001</v>
          </cell>
          <cell r="AB610">
            <v>-15405.636469999999</v>
          </cell>
          <cell r="AC610">
            <v>-3853.6031600000001</v>
          </cell>
          <cell r="AD610">
            <v>-8236.576869999999</v>
          </cell>
          <cell r="AE610">
            <v>-12002.896379999998</v>
          </cell>
          <cell r="AF610">
            <v>-16896.516589999999</v>
          </cell>
          <cell r="AG610">
            <v>-5084.3918800000001</v>
          </cell>
          <cell r="AH610">
            <v>-10448.041440000001</v>
          </cell>
          <cell r="AI610">
            <v>-14566.490380000001</v>
          </cell>
        </row>
        <row r="611">
          <cell r="A611" t="str">
            <v>ÖvrRörKostnModer</v>
          </cell>
          <cell r="C611" t="str">
            <v>Övriga rörelsekostnader</v>
          </cell>
          <cell r="H611">
            <v>-2418.7736100000002</v>
          </cell>
          <cell r="I611">
            <v>-1565.4219000000005</v>
          </cell>
          <cell r="J611">
            <v>-2695.4374800000001</v>
          </cell>
          <cell r="K611">
            <v>-3608.7939200000001</v>
          </cell>
          <cell r="L611">
            <v>-4247.2385000000004</v>
          </cell>
          <cell r="M611">
            <v>-1285.2647300000001</v>
          </cell>
          <cell r="N611">
            <v>-2624.3838999999998</v>
          </cell>
          <cell r="O611">
            <v>-3672.00866</v>
          </cell>
          <cell r="P611">
            <v>-4789.5221600000013</v>
          </cell>
          <cell r="Q611">
            <v>-1695</v>
          </cell>
          <cell r="R611">
            <v>-3087</v>
          </cell>
          <cell r="S611">
            <v>-4389.6520199999995</v>
          </cell>
          <cell r="T611">
            <v>-5654</v>
          </cell>
          <cell r="U611">
            <v>-2418.0715</v>
          </cell>
          <cell r="V611">
            <v>-3527.8525100000006</v>
          </cell>
          <cell r="W611">
            <v>-4984.8216899999989</v>
          </cell>
          <cell r="X611">
            <v>-7037.0485100000005</v>
          </cell>
          <cell r="Y611">
            <v>-2131.4184799999998</v>
          </cell>
          <cell r="Z611">
            <v>-3680.2484399999998</v>
          </cell>
          <cell r="AA611">
            <v>-5088.0655300000008</v>
          </cell>
          <cell r="AB611">
            <v>-6580.4674499999992</v>
          </cell>
          <cell r="AC611">
            <v>-2109.4470299999998</v>
          </cell>
          <cell r="AD611">
            <v>-3992.8411400000005</v>
          </cell>
          <cell r="AE611">
            <v>-5907.1744200000003</v>
          </cell>
          <cell r="AF611">
            <v>-7773.1515600000012</v>
          </cell>
          <cell r="AG611">
            <v>-2707.5681600000007</v>
          </cell>
          <cell r="AH611">
            <v>-5107.25209</v>
          </cell>
          <cell r="AI611">
            <v>-7591.4703900000022</v>
          </cell>
        </row>
        <row r="612">
          <cell r="A612" t="str">
            <v>RörelseresModer</v>
          </cell>
          <cell r="C612" t="str">
            <v>Rörelseresultat</v>
          </cell>
          <cell r="E612">
            <v>0</v>
          </cell>
          <cell r="F612">
            <v>0</v>
          </cell>
          <cell r="G612">
            <v>0</v>
          </cell>
          <cell r="H612">
            <v>-7853.5777699999999</v>
          </cell>
          <cell r="I612">
            <v>-4325.8038299999998</v>
          </cell>
          <cell r="J612">
            <v>-7858.4374800000005</v>
          </cell>
          <cell r="K612">
            <v>-10370.79392</v>
          </cell>
          <cell r="L612">
            <v>-13322.393380000001</v>
          </cell>
          <cell r="M612">
            <v>-2902.9902600000005</v>
          </cell>
          <cell r="N612">
            <v>-5893.43174</v>
          </cell>
          <cell r="O612">
            <v>-8564.6433899999993</v>
          </cell>
          <cell r="P612">
            <v>-11037.056860000002</v>
          </cell>
          <cell r="Q612">
            <v>-3451.1821799999998</v>
          </cell>
          <cell r="R612">
            <v>-7151.24791</v>
          </cell>
          <cell r="S612">
            <v>-10666.358719999998</v>
          </cell>
          <cell r="T612">
            <v>-16339.882900000002</v>
          </cell>
          <cell r="U612">
            <v>-4711.1000499999991</v>
          </cell>
          <cell r="V612">
            <v>-9013.7973200000015</v>
          </cell>
          <cell r="W612">
            <v>-12971.212309999999</v>
          </cell>
          <cell r="X612">
            <v>-16961.662510000002</v>
          </cell>
          <cell r="Y612">
            <v>-5348.4396099999994</v>
          </cell>
          <cell r="Z612">
            <v>-11095.58001</v>
          </cell>
          <cell r="AA612">
            <v>-15478.066770000001</v>
          </cell>
          <cell r="AB612">
            <v>-21986.103919999998</v>
          </cell>
          <cell r="AC612">
            <v>-5963.0501899999999</v>
          </cell>
          <cell r="AD612">
            <v>-12229.418009999999</v>
          </cell>
          <cell r="AE612">
            <v>-17910.070799999998</v>
          </cell>
          <cell r="AF612">
            <v>-24669.668150000001</v>
          </cell>
          <cell r="AG612">
            <v>-7791.9600400000008</v>
          </cell>
          <cell r="AH612">
            <v>-15555.293530000001</v>
          </cell>
          <cell r="AI612">
            <v>-22157.960770000005</v>
          </cell>
        </row>
        <row r="614">
          <cell r="C614" t="str">
            <v>Resultat från finansiella investeringar</v>
          </cell>
        </row>
        <row r="615">
          <cell r="A615" t="str">
            <v>ResAndKoncModer</v>
          </cell>
          <cell r="C615" t="str">
            <v>Resultat från andelar i koncernbolag</v>
          </cell>
          <cell r="H615">
            <v>170591</v>
          </cell>
          <cell r="J615">
            <v>2000</v>
          </cell>
          <cell r="K615">
            <v>1000</v>
          </cell>
          <cell r="L615">
            <v>331240</v>
          </cell>
          <cell r="M615">
            <v>0</v>
          </cell>
          <cell r="N615">
            <v>0</v>
          </cell>
          <cell r="O615">
            <v>0</v>
          </cell>
          <cell r="P615">
            <v>217560</v>
          </cell>
          <cell r="Q615">
            <v>0</v>
          </cell>
          <cell r="R615">
            <v>0</v>
          </cell>
          <cell r="S615">
            <v>0</v>
          </cell>
          <cell r="T615">
            <v>264089</v>
          </cell>
          <cell r="U615">
            <v>0</v>
          </cell>
          <cell r="V615">
            <v>8000</v>
          </cell>
          <cell r="W615">
            <v>20000</v>
          </cell>
          <cell r="X615">
            <v>284018</v>
          </cell>
          <cell r="Y615">
            <v>0</v>
          </cell>
          <cell r="Z615">
            <v>10500</v>
          </cell>
          <cell r="AA615">
            <v>10500</v>
          </cell>
          <cell r="AB615">
            <v>159950</v>
          </cell>
          <cell r="AC615">
            <v>20000</v>
          </cell>
          <cell r="AD615">
            <v>23000</v>
          </cell>
          <cell r="AE615">
            <v>33000</v>
          </cell>
          <cell r="AF615">
            <v>0</v>
          </cell>
        </row>
        <row r="616">
          <cell r="A616" t="str">
            <v>ResFinInvModer</v>
          </cell>
          <cell r="C616" t="str">
            <v>Resultat från försäljningar av finansiella investeringar</v>
          </cell>
          <cell r="AB616">
            <v>0</v>
          </cell>
          <cell r="AF616">
            <v>48620.215960000001</v>
          </cell>
        </row>
        <row r="617">
          <cell r="A617" t="str">
            <v>ResAndIntrModer</v>
          </cell>
          <cell r="C617" t="str">
            <v>Resultat från andelar i intresseföretag</v>
          </cell>
        </row>
        <row r="618">
          <cell r="A618" t="str">
            <v>RänteintModer</v>
          </cell>
          <cell r="C618" t="str">
            <v>Ränteintäkter och liknande resultatposter</v>
          </cell>
          <cell r="H618">
            <v>114.9</v>
          </cell>
          <cell r="I618">
            <v>3.7390000000000007E-2</v>
          </cell>
          <cell r="J618">
            <v>-0.03</v>
          </cell>
          <cell r="K618">
            <v>-1</v>
          </cell>
          <cell r="L618">
            <v>1</v>
          </cell>
          <cell r="M618">
            <v>-3.07924</v>
          </cell>
          <cell r="N618">
            <v>0.55593999999999966</v>
          </cell>
          <cell r="O618">
            <v>-18.124099999999999</v>
          </cell>
          <cell r="P618">
            <v>1</v>
          </cell>
          <cell r="Q618">
            <v>2</v>
          </cell>
          <cell r="R618">
            <v>1</v>
          </cell>
          <cell r="S618">
            <v>1</v>
          </cell>
          <cell r="T618">
            <v>6.7000000000000004E-2</v>
          </cell>
          <cell r="U618">
            <v>0</v>
          </cell>
          <cell r="V618">
            <v>0</v>
          </cell>
          <cell r="X618">
            <v>1</v>
          </cell>
          <cell r="Y618">
            <v>-1.16371</v>
          </cell>
        </row>
        <row r="619">
          <cell r="A619" t="str">
            <v>RäntekostnModer</v>
          </cell>
          <cell r="C619" t="str">
            <v>Räntekostnader och liknande resultatposter</v>
          </cell>
          <cell r="U619">
            <v>-8</v>
          </cell>
          <cell r="V619">
            <v>-17</v>
          </cell>
          <cell r="W619">
            <v>-35.89273</v>
          </cell>
          <cell r="X619">
            <v>1</v>
          </cell>
          <cell r="Y619">
            <v>-3.6786799999999999</v>
          </cell>
          <cell r="Z619">
            <v>-6</v>
          </cell>
          <cell r="AA619">
            <v>-12.565300000000001</v>
          </cell>
          <cell r="AB619">
            <v>1</v>
          </cell>
          <cell r="AC619">
            <v>-8.5995600000000003</v>
          </cell>
          <cell r="AD619">
            <v>-9.5987299999999998</v>
          </cell>
          <cell r="AE619">
            <v>-11.177579999999999</v>
          </cell>
          <cell r="AF619">
            <v>-22.436739999999997</v>
          </cell>
          <cell r="AG619">
            <v>-17.179490000000001</v>
          </cell>
          <cell r="AH619">
            <v>-22.160620000000002</v>
          </cell>
          <cell r="AI619">
            <v>-28.879449999999999</v>
          </cell>
        </row>
        <row r="620">
          <cell r="A620" t="str">
            <v>ResFSkattModer</v>
          </cell>
          <cell r="C620" t="str">
            <v>Resultat före skatt och bokslutsdispositioner</v>
          </cell>
          <cell r="E620">
            <v>0</v>
          </cell>
          <cell r="F620">
            <v>0</v>
          </cell>
          <cell r="G620">
            <v>0</v>
          </cell>
          <cell r="H620">
            <v>162852.32222999999</v>
          </cell>
          <cell r="I620">
            <v>-4325.7664399999994</v>
          </cell>
          <cell r="J620">
            <v>-5858.4674800000003</v>
          </cell>
          <cell r="K620">
            <v>-9371.7939200000001</v>
          </cell>
          <cell r="L620">
            <v>317918.60661999998</v>
          </cell>
          <cell r="M620">
            <v>-2906.0695000000005</v>
          </cell>
          <cell r="N620">
            <v>-5892.8757999999998</v>
          </cell>
          <cell r="O620">
            <v>-8582.7674899999984</v>
          </cell>
          <cell r="P620">
            <v>206523.94313999999</v>
          </cell>
          <cell r="Q620">
            <v>-3449.1821799999998</v>
          </cell>
          <cell r="R620">
            <v>-7150.24791</v>
          </cell>
          <cell r="S620">
            <v>-10665.358719999998</v>
          </cell>
          <cell r="T620">
            <v>247749.18410000001</v>
          </cell>
          <cell r="U620">
            <v>-4719.1000499999991</v>
          </cell>
          <cell r="V620">
            <v>-1030.7973200000015</v>
          </cell>
          <cell r="W620">
            <v>6992.8949600000014</v>
          </cell>
          <cell r="X620">
            <v>267058.33749000001</v>
          </cell>
          <cell r="Y620">
            <v>-5353.2819999999992</v>
          </cell>
          <cell r="Z620">
            <v>-601.58000999999967</v>
          </cell>
          <cell r="AA620">
            <v>-4990.6320700000015</v>
          </cell>
          <cell r="AB620">
            <v>137964.89608000001</v>
          </cell>
          <cell r="AC620">
            <v>14028.35025</v>
          </cell>
          <cell r="AD620">
            <v>10760.983260000001</v>
          </cell>
          <cell r="AE620">
            <v>15078.751620000003</v>
          </cell>
          <cell r="AF620">
            <v>23928.111069999999</v>
          </cell>
          <cell r="AG620">
            <v>-7809.1395300000013</v>
          </cell>
          <cell r="AH620">
            <v>-15577.454150000001</v>
          </cell>
          <cell r="AI620">
            <v>-22186.840220000006</v>
          </cell>
        </row>
        <row r="622">
          <cell r="C622" t="str">
            <v>Bokslutsdispositoner</v>
          </cell>
        </row>
        <row r="623">
          <cell r="A623" t="str">
            <v>KoncernbidragModer</v>
          </cell>
          <cell r="C623" t="str">
            <v>Koncernbidrag</v>
          </cell>
          <cell r="AB623">
            <v>22043</v>
          </cell>
          <cell r="AF623">
            <v>50899</v>
          </cell>
          <cell r="AH623">
            <v>-5000</v>
          </cell>
          <cell r="AI623">
            <v>-5000</v>
          </cell>
        </row>
        <row r="624">
          <cell r="C624" t="str">
            <v>Resultat före skatt</v>
          </cell>
          <cell r="Y624">
            <v>-5353.2819999999992</v>
          </cell>
          <cell r="Z624">
            <v>-601.58000999999967</v>
          </cell>
          <cell r="AA624">
            <v>-4990.6320700000015</v>
          </cell>
          <cell r="AB624">
            <v>160007.89608000001</v>
          </cell>
          <cell r="AC624">
            <v>14028.35025</v>
          </cell>
          <cell r="AD624">
            <v>10760.983260000001</v>
          </cell>
          <cell r="AE624">
            <v>15078.751620000003</v>
          </cell>
          <cell r="AF624">
            <v>74827.111069999999</v>
          </cell>
          <cell r="AG624">
            <v>-7809.1395300000013</v>
          </cell>
          <cell r="AH624">
            <v>-20577.454150000001</v>
          </cell>
          <cell r="AI624">
            <v>-27186.840220000006</v>
          </cell>
        </row>
        <row r="626">
          <cell r="A626" t="str">
            <v>SkattModer</v>
          </cell>
          <cell r="C626" t="str">
            <v>Skatt på periodens resultat</v>
          </cell>
          <cell r="H626">
            <v>-586.15599999999995</v>
          </cell>
          <cell r="I626">
            <v>951.69600000000003</v>
          </cell>
          <cell r="J626">
            <v>1288.8510000000001</v>
          </cell>
          <cell r="K626">
            <v>2061.8249999999998</v>
          </cell>
          <cell r="L626">
            <v>5.3999999999999999E-2</v>
          </cell>
          <cell r="M626">
            <v>639.50199999999995</v>
          </cell>
          <cell r="N626">
            <v>1286.473</v>
          </cell>
          <cell r="O626">
            <v>1886.895</v>
          </cell>
          <cell r="P626">
            <v>1</v>
          </cell>
          <cell r="Q626">
            <v>758.69799999999998</v>
          </cell>
          <cell r="R626">
            <v>1573.02774</v>
          </cell>
          <cell r="S626">
            <v>2346.3490000000002</v>
          </cell>
          <cell r="T626">
            <v>1E-3</v>
          </cell>
          <cell r="U626">
            <v>1038.222</v>
          </cell>
          <cell r="V626">
            <v>224.24700000000001</v>
          </cell>
          <cell r="W626">
            <v>-1542.05017</v>
          </cell>
          <cell r="X626">
            <v>1</v>
          </cell>
          <cell r="Y626">
            <v>1145.6020000000001</v>
          </cell>
          <cell r="Z626">
            <v>127</v>
          </cell>
          <cell r="AA626">
            <v>1066.24785</v>
          </cell>
          <cell r="AB626">
            <v>1</v>
          </cell>
          <cell r="AC626">
            <v>-3060.9169499999998</v>
          </cell>
          <cell r="AD626">
            <v>-2388.473</v>
          </cell>
          <cell r="AE626">
            <v>-3355.2755299999999</v>
          </cell>
          <cell r="AF626">
            <v>-5779.3230000000003</v>
          </cell>
          <cell r="AG626">
            <v>1422.8019999999999</v>
          </cell>
          <cell r="AH626">
            <v>4014.9477200000001</v>
          </cell>
          <cell r="AI626">
            <v>5334.0910000000003</v>
          </cell>
        </row>
        <row r="627">
          <cell r="A627" t="str">
            <v>PeriodensResModer</v>
          </cell>
          <cell r="C627" t="str">
            <v>Periodens resultat</v>
          </cell>
          <cell r="E627">
            <v>0</v>
          </cell>
          <cell r="F627">
            <v>0</v>
          </cell>
          <cell r="G627">
            <v>0</v>
          </cell>
          <cell r="H627">
            <v>162266.16623</v>
          </cell>
          <cell r="I627">
            <v>-3374.0704399999995</v>
          </cell>
          <cell r="J627">
            <v>-4569.6164800000006</v>
          </cell>
          <cell r="K627">
            <v>-7309.9689200000003</v>
          </cell>
          <cell r="L627">
            <v>317918.66061999998</v>
          </cell>
          <cell r="M627">
            <v>-2266.5675000000006</v>
          </cell>
          <cell r="N627">
            <v>-4606.4027999999998</v>
          </cell>
          <cell r="O627">
            <v>-6695.8724899999979</v>
          </cell>
          <cell r="P627">
            <v>206524.94313999999</v>
          </cell>
          <cell r="Q627">
            <v>-2690.4841799999999</v>
          </cell>
          <cell r="R627">
            <v>-5577.2201700000005</v>
          </cell>
          <cell r="S627">
            <v>-8319.0097199999982</v>
          </cell>
          <cell r="T627">
            <v>247749.1851</v>
          </cell>
          <cell r="U627">
            <v>-3680.8780499999993</v>
          </cell>
          <cell r="V627">
            <v>-806.55032000000142</v>
          </cell>
          <cell r="W627">
            <v>5450.844790000001</v>
          </cell>
          <cell r="X627">
            <v>267059.33749000001</v>
          </cell>
          <cell r="Y627">
            <v>-4207.6799999999994</v>
          </cell>
          <cell r="Z627">
            <v>-474.58000999999967</v>
          </cell>
          <cell r="AA627">
            <v>-3924.3842200000017</v>
          </cell>
          <cell r="AB627">
            <v>160008.89608000001</v>
          </cell>
          <cell r="AC627">
            <v>10967.433300000001</v>
          </cell>
          <cell r="AD627">
            <v>8372.5102600000009</v>
          </cell>
          <cell r="AE627">
            <v>11723.476090000004</v>
          </cell>
          <cell r="AF627">
            <v>69047.788069999995</v>
          </cell>
          <cell r="AG627">
            <v>-6386.3375300000016</v>
          </cell>
          <cell r="AH627">
            <v>-16562.506430000001</v>
          </cell>
          <cell r="AI627">
            <v>-21852.749220000005</v>
          </cell>
        </row>
        <row r="629">
          <cell r="C629" t="str">
            <v>Övrigt totalresultat</v>
          </cell>
        </row>
        <row r="632">
          <cell r="A632" t="str">
            <v>VärdeförändrIntrbolModer</v>
          </cell>
          <cell r="C632" t="str">
            <v>Värdeförändringar av intresseföretag</v>
          </cell>
          <cell r="X632">
            <v>39780</v>
          </cell>
          <cell r="Y632">
            <v>0</v>
          </cell>
          <cell r="Z632">
            <v>0</v>
          </cell>
          <cell r="AA632">
            <v>0</v>
          </cell>
          <cell r="AB632">
            <v>0</v>
          </cell>
          <cell r="AC632">
            <v>0</v>
          </cell>
          <cell r="AD632">
            <v>0</v>
          </cell>
          <cell r="AE632">
            <v>0</v>
          </cell>
          <cell r="AF632">
            <v>-9999.8533478260906</v>
          </cell>
          <cell r="AG632">
            <v>0</v>
          </cell>
          <cell r="AH632">
            <v>0</v>
          </cell>
          <cell r="AI632">
            <v>0</v>
          </cell>
        </row>
        <row r="633">
          <cell r="A633" t="str">
            <v>SkattVärdeförändrIntrbolModer</v>
          </cell>
          <cell r="C633" t="str">
            <v>Skatt på värdeförändringar av intresseföretag</v>
          </cell>
          <cell r="X633">
            <v>0</v>
          </cell>
          <cell r="Y633">
            <v>0</v>
          </cell>
          <cell r="Z633">
            <v>0</v>
          </cell>
          <cell r="AA633">
            <v>0</v>
          </cell>
          <cell r="AB633">
            <v>0</v>
          </cell>
          <cell r="AC633">
            <v>0</v>
          </cell>
          <cell r="AD633">
            <v>0</v>
          </cell>
          <cell r="AE633">
            <v>0</v>
          </cell>
          <cell r="AF633">
            <v>0</v>
          </cell>
          <cell r="AG633">
            <v>0</v>
          </cell>
          <cell r="AH633">
            <v>0</v>
          </cell>
          <cell r="AI633">
            <v>0</v>
          </cell>
        </row>
        <row r="634">
          <cell r="A634" t="str">
            <v>VärdeförändrAktInne</v>
          </cell>
          <cell r="C634" t="str">
            <v>Värdeförändringar av aktier och innehav</v>
          </cell>
          <cell r="AF634">
            <v>144128.061558785</v>
          </cell>
        </row>
        <row r="635">
          <cell r="A635" t="str">
            <v>SkattförändrAktInne</v>
          </cell>
          <cell r="C635" t="str">
            <v>Skatt på värdeförändringar av aktier och innehav</v>
          </cell>
          <cell r="AF635">
            <v>0</v>
          </cell>
        </row>
        <row r="636">
          <cell r="A636" t="str">
            <v>ÖvrTotalresModer</v>
          </cell>
          <cell r="C636" t="str">
            <v>Övrigt totalresultat</v>
          </cell>
          <cell r="E636">
            <v>0</v>
          </cell>
          <cell r="F636">
            <v>0</v>
          </cell>
          <cell r="G636">
            <v>0</v>
          </cell>
          <cell r="H636">
            <v>0</v>
          </cell>
          <cell r="I636">
            <v>0</v>
          </cell>
          <cell r="J636">
            <v>0</v>
          </cell>
          <cell r="K636">
            <v>0</v>
          </cell>
          <cell r="L636">
            <v>0</v>
          </cell>
          <cell r="M636">
            <v>0</v>
          </cell>
          <cell r="N636">
            <v>0</v>
          </cell>
          <cell r="O636">
            <v>0</v>
          </cell>
          <cell r="P636">
            <v>0</v>
          </cell>
          <cell r="Q636">
            <v>0</v>
          </cell>
          <cell r="R636">
            <v>0</v>
          </cell>
          <cell r="S636">
            <v>0</v>
          </cell>
          <cell r="T636">
            <v>0</v>
          </cell>
          <cell r="U636">
            <v>0</v>
          </cell>
          <cell r="V636">
            <v>0</v>
          </cell>
          <cell r="W636">
            <v>0</v>
          </cell>
          <cell r="X636">
            <v>39780</v>
          </cell>
          <cell r="Y636">
            <v>0</v>
          </cell>
          <cell r="Z636">
            <v>0</v>
          </cell>
          <cell r="AA636">
            <v>0</v>
          </cell>
          <cell r="AB636">
            <v>0</v>
          </cell>
          <cell r="AC636">
            <v>0</v>
          </cell>
          <cell r="AD636">
            <v>0</v>
          </cell>
          <cell r="AE636">
            <v>0</v>
          </cell>
          <cell r="AF636">
            <v>-9999.8533478260906</v>
          </cell>
          <cell r="AG636">
            <v>0</v>
          </cell>
          <cell r="AH636">
            <v>0</v>
          </cell>
          <cell r="AI636">
            <v>0</v>
          </cell>
        </row>
        <row r="638">
          <cell r="A638" t="str">
            <v>TotalresModer</v>
          </cell>
          <cell r="C638" t="str">
            <v>Periodens totalresultat</v>
          </cell>
          <cell r="E638">
            <v>0</v>
          </cell>
          <cell r="F638">
            <v>0</v>
          </cell>
          <cell r="G638">
            <v>0</v>
          </cell>
          <cell r="H638">
            <v>162266.16623</v>
          </cell>
          <cell r="I638">
            <v>-3374.0704399999995</v>
          </cell>
          <cell r="J638">
            <v>-4569.6164800000006</v>
          </cell>
          <cell r="K638">
            <v>-7309.9689200000003</v>
          </cell>
          <cell r="L638">
            <v>317918.66061999998</v>
          </cell>
          <cell r="M638">
            <v>-2266.5675000000006</v>
          </cell>
          <cell r="N638">
            <v>-4606.4027999999998</v>
          </cell>
          <cell r="O638">
            <v>-6695.8724899999979</v>
          </cell>
          <cell r="P638">
            <v>206524.94313999999</v>
          </cell>
          <cell r="Q638">
            <v>-2690.4841799999999</v>
          </cell>
          <cell r="R638">
            <v>-5577.2201700000005</v>
          </cell>
          <cell r="S638">
            <v>-8319.0097199999982</v>
          </cell>
          <cell r="T638">
            <v>247749.1851</v>
          </cell>
          <cell r="U638">
            <v>-3680.8780499999993</v>
          </cell>
          <cell r="V638">
            <v>-806.55032000000142</v>
          </cell>
          <cell r="W638">
            <v>5450.844790000001</v>
          </cell>
          <cell r="X638">
            <v>306839.33749000001</v>
          </cell>
          <cell r="Y638">
            <v>-4207.6799999999994</v>
          </cell>
          <cell r="Z638">
            <v>-474.58000999999967</v>
          </cell>
          <cell r="AA638">
            <v>-3924.3842200000017</v>
          </cell>
          <cell r="AB638">
            <v>160008.89608000001</v>
          </cell>
          <cell r="AC638">
            <v>10967.433300000001</v>
          </cell>
          <cell r="AD638">
            <v>8372.5102600000009</v>
          </cell>
          <cell r="AE638">
            <v>11723.476090000004</v>
          </cell>
          <cell r="AF638">
            <v>59047.934722173901</v>
          </cell>
          <cell r="AG638">
            <v>-6386.3375300000016</v>
          </cell>
          <cell r="AH638">
            <v>-16562.506430000001</v>
          </cell>
          <cell r="AI638">
            <v>-21852.749220000005</v>
          </cell>
        </row>
        <row r="644">
          <cell r="C644" t="str">
            <v>Moderbolagets balansräkning (kSEK)</v>
          </cell>
        </row>
        <row r="645">
          <cell r="C645" t="str">
            <v>Tillgångar</v>
          </cell>
        </row>
        <row r="646">
          <cell r="A646" t="str">
            <v>FinATModer</v>
          </cell>
          <cell r="C646" t="str">
            <v>Finansiella anläggningstillgångar</v>
          </cell>
          <cell r="H646">
            <v>407601.20199999999</v>
          </cell>
          <cell r="I646">
            <v>408601.20199999999</v>
          </cell>
          <cell r="J646">
            <v>408601.20199999999</v>
          </cell>
          <cell r="K646">
            <v>408601.20199999999</v>
          </cell>
          <cell r="L646">
            <v>408601.20199999999</v>
          </cell>
          <cell r="M646">
            <v>408601.20199999999</v>
          </cell>
          <cell r="N646">
            <v>408601.20199999999</v>
          </cell>
          <cell r="O646">
            <v>413614</v>
          </cell>
          <cell r="P646">
            <v>413614</v>
          </cell>
          <cell r="Q646">
            <v>413614</v>
          </cell>
          <cell r="R646">
            <v>423504</v>
          </cell>
          <cell r="S646">
            <v>423504</v>
          </cell>
          <cell r="T646">
            <v>429512</v>
          </cell>
          <cell r="U646">
            <v>433512</v>
          </cell>
          <cell r="V646">
            <v>434519.2</v>
          </cell>
          <cell r="W646">
            <v>439519.20199999999</v>
          </cell>
          <cell r="X646">
            <v>533131</v>
          </cell>
          <cell r="Y646">
            <v>533130.74800000002</v>
          </cell>
          <cell r="Z646">
            <v>533130.74800000002</v>
          </cell>
          <cell r="AA646">
            <v>533130.74800000002</v>
          </cell>
          <cell r="AB646">
            <v>533130.74800000002</v>
          </cell>
          <cell r="AC646">
            <v>533130.74800000002</v>
          </cell>
          <cell r="AD646">
            <v>533130.74800000002</v>
          </cell>
          <cell r="AE646">
            <v>536130.74800000002</v>
          </cell>
          <cell r="AF646">
            <v>656787.46400000004</v>
          </cell>
          <cell r="AG646">
            <v>656787.46400000004</v>
          </cell>
          <cell r="AH646">
            <v>659787.46400000004</v>
          </cell>
          <cell r="AI646">
            <v>662787.46400000004</v>
          </cell>
        </row>
        <row r="647">
          <cell r="A647" t="str">
            <v>KortfrFordrModer</v>
          </cell>
          <cell r="C647" t="str">
            <v>Kortfristiga fordringar</v>
          </cell>
          <cell r="H647">
            <v>166803.29999999999</v>
          </cell>
          <cell r="I647">
            <v>2181</v>
          </cell>
          <cell r="J647">
            <v>52370</v>
          </cell>
          <cell r="K647">
            <v>50670</v>
          </cell>
          <cell r="L647">
            <v>378304</v>
          </cell>
          <cell r="M647">
            <v>373158</v>
          </cell>
          <cell r="N647">
            <v>145544</v>
          </cell>
          <cell r="O647">
            <v>139575.20000000001</v>
          </cell>
          <cell r="P647">
            <v>353733.49</v>
          </cell>
          <cell r="Q647">
            <v>36905</v>
          </cell>
          <cell r="R647">
            <v>23482</v>
          </cell>
          <cell r="S647">
            <v>71559</v>
          </cell>
          <cell r="T647">
            <v>325020</v>
          </cell>
          <cell r="U647">
            <v>3316</v>
          </cell>
          <cell r="V647">
            <v>1667.2</v>
          </cell>
          <cell r="W647">
            <v>109230.84952</v>
          </cell>
          <cell r="X647">
            <v>336880</v>
          </cell>
          <cell r="Y647">
            <v>2353.6921299999999</v>
          </cell>
          <cell r="Z647">
            <v>7004</v>
          </cell>
          <cell r="AA647">
            <v>186081.20892999999</v>
          </cell>
          <cell r="AB647">
            <v>353910</v>
          </cell>
          <cell r="AC647">
            <v>8001.2122999999956</v>
          </cell>
          <cell r="AD647">
            <v>6098.1285599999956</v>
          </cell>
          <cell r="AE647">
            <v>107252.26762</v>
          </cell>
          <cell r="AF647">
            <v>124410.03283000001</v>
          </cell>
          <cell r="AG647">
            <v>37839.433689999998</v>
          </cell>
          <cell r="AH647">
            <v>18972.529249999996</v>
          </cell>
          <cell r="AI647">
            <v>77730.969369999992</v>
          </cell>
        </row>
        <row r="648">
          <cell r="A648" t="str">
            <v>LikvMedelModer</v>
          </cell>
          <cell r="C648" t="str">
            <v>Likvida medel</v>
          </cell>
          <cell r="H648">
            <v>18.062000000000001</v>
          </cell>
          <cell r="I648">
            <v>87.936999999999998</v>
          </cell>
          <cell r="J648">
            <v>27.690999999999999</v>
          </cell>
          <cell r="K648">
            <v>38.069000000000003</v>
          </cell>
          <cell r="L648">
            <v>13.497999999999999</v>
          </cell>
          <cell r="M648">
            <v>56.750999999999998</v>
          </cell>
          <cell r="N648">
            <v>126.651</v>
          </cell>
          <cell r="O648">
            <v>28.334</v>
          </cell>
          <cell r="P648">
            <v>44.475000000000001</v>
          </cell>
          <cell r="Q648">
            <v>171.768</v>
          </cell>
          <cell r="R648">
            <v>85.465810000000005</v>
          </cell>
          <cell r="S648">
            <v>155.62299999999999</v>
          </cell>
          <cell r="T648">
            <v>95.773300000000006</v>
          </cell>
          <cell r="U648">
            <v>389.68946999999997</v>
          </cell>
          <cell r="V648">
            <v>104.2</v>
          </cell>
          <cell r="W648">
            <v>5300.9774800000005</v>
          </cell>
          <cell r="X648">
            <v>1275.0442700000001</v>
          </cell>
          <cell r="Y648">
            <v>2073.89093</v>
          </cell>
          <cell r="Z648">
            <v>327</v>
          </cell>
          <cell r="AA648">
            <v>907.62877000000003</v>
          </cell>
          <cell r="AB648">
            <v>4.9054499999999539</v>
          </cell>
          <cell r="AC648">
            <v>3426.0398600000003</v>
          </cell>
          <cell r="AD648">
            <v>1960.5249699999999</v>
          </cell>
          <cell r="AE648">
            <v>3617.7655799999998</v>
          </cell>
          <cell r="AF648">
            <v>61517.115329999993</v>
          </cell>
          <cell r="AG648">
            <v>138683.79373000003</v>
          </cell>
          <cell r="AH648">
            <v>8213.9626600000065</v>
          </cell>
          <cell r="AI648">
            <v>3777.2465300000026</v>
          </cell>
        </row>
        <row r="649">
          <cell r="A649" t="str">
            <v>SummaTillgModer</v>
          </cell>
          <cell r="C649" t="str">
            <v>Summa tillgångar</v>
          </cell>
          <cell r="E649">
            <v>0</v>
          </cell>
          <cell r="F649">
            <v>0</v>
          </cell>
          <cell r="G649">
            <v>0</v>
          </cell>
          <cell r="H649">
            <v>574422.56400000001</v>
          </cell>
          <cell r="I649">
            <v>410870.13899999997</v>
          </cell>
          <cell r="J649">
            <v>460998.89299999998</v>
          </cell>
          <cell r="K649">
            <v>459309.27100000001</v>
          </cell>
          <cell r="L649">
            <v>786918.70000000007</v>
          </cell>
          <cell r="M649">
            <v>781815.9530000001</v>
          </cell>
          <cell r="N649">
            <v>554271.853</v>
          </cell>
          <cell r="O649">
            <v>553217.53399999999</v>
          </cell>
          <cell r="P649">
            <v>767391.96499999997</v>
          </cell>
          <cell r="Q649">
            <v>450690.76799999998</v>
          </cell>
          <cell r="R649">
            <v>447071.46581000002</v>
          </cell>
          <cell r="S649">
            <v>495218.62300000002</v>
          </cell>
          <cell r="T649">
            <v>754627.7733</v>
          </cell>
          <cell r="U649">
            <v>437217.68946999998</v>
          </cell>
          <cell r="V649">
            <v>436290.60000000003</v>
          </cell>
          <cell r="W649">
            <v>554051.02899999998</v>
          </cell>
          <cell r="X649">
            <v>871286.04426999995</v>
          </cell>
          <cell r="Y649">
            <v>537558.33106</v>
          </cell>
          <cell r="Z649">
            <v>540461.74800000002</v>
          </cell>
          <cell r="AA649">
            <v>720119.58569999994</v>
          </cell>
          <cell r="AB649">
            <v>887045.65344999998</v>
          </cell>
          <cell r="AC649">
            <v>544558.00016000005</v>
          </cell>
          <cell r="AD649">
            <v>541189.40153000003</v>
          </cell>
          <cell r="AE649">
            <v>647000.78119999997</v>
          </cell>
          <cell r="AF649">
            <v>842714.61216000002</v>
          </cell>
          <cell r="AG649">
            <v>833310.69142000005</v>
          </cell>
          <cell r="AH649">
            <v>686973.95591000002</v>
          </cell>
          <cell r="AI649">
            <v>744295.67989999999</v>
          </cell>
        </row>
        <row r="651">
          <cell r="C651" t="str">
            <v>Eget kapital och skulder</v>
          </cell>
        </row>
        <row r="652">
          <cell r="A652" t="str">
            <v>BundetEKModer</v>
          </cell>
          <cell r="C652" t="str">
            <v>Bundet eget kapital</v>
          </cell>
          <cell r="P652">
            <v>74597.305999999997</v>
          </cell>
          <cell r="S652">
            <v>74990.555999999997</v>
          </cell>
          <cell r="T652">
            <v>74990.555500000002</v>
          </cell>
          <cell r="U652">
            <v>74990.555500000002</v>
          </cell>
          <cell r="V652">
            <v>74990.555500000002</v>
          </cell>
          <cell r="W652">
            <v>75682.4905</v>
          </cell>
          <cell r="X652">
            <v>75682.4905</v>
          </cell>
          <cell r="Y652">
            <v>75682.4905</v>
          </cell>
          <cell r="Z652">
            <v>75682.4905</v>
          </cell>
          <cell r="AA652">
            <v>76893.161500000002</v>
          </cell>
          <cell r="AB652">
            <v>76893.161500000002</v>
          </cell>
          <cell r="AC652">
            <v>76893.161500000002</v>
          </cell>
          <cell r="AD652">
            <v>76893.161500000002</v>
          </cell>
          <cell r="AE652">
            <v>77477.005499999999</v>
          </cell>
          <cell r="AF652">
            <v>77477.005499999999</v>
          </cell>
          <cell r="AG652">
            <v>77477.005499999999</v>
          </cell>
          <cell r="AH652">
            <v>77477.005499999999</v>
          </cell>
          <cell r="AI652">
            <v>77785.879499999995</v>
          </cell>
        </row>
        <row r="653">
          <cell r="A653" t="str">
            <v>FrittEKModer</v>
          </cell>
          <cell r="C653" t="str">
            <v>Fritt eget kapital</v>
          </cell>
          <cell r="H653">
            <v>570576.69465000008</v>
          </cell>
          <cell r="I653">
            <v>365086.28646000003</v>
          </cell>
          <cell r="J653">
            <v>457065.41938000004</v>
          </cell>
          <cell r="K653">
            <v>454325.00717000006</v>
          </cell>
          <cell r="L653">
            <v>779142.02692000009</v>
          </cell>
          <cell r="M653">
            <v>776875.63049999997</v>
          </cell>
          <cell r="N653">
            <v>549668.62320000003</v>
          </cell>
          <cell r="O653">
            <v>547579.15350999997</v>
          </cell>
          <cell r="P653">
            <v>686179.32700000005</v>
          </cell>
          <cell r="S653">
            <v>413824.49400000001</v>
          </cell>
          <cell r="T653">
            <v>669893</v>
          </cell>
          <cell r="U653">
            <v>351251</v>
          </cell>
          <cell r="V653">
            <v>354125</v>
          </cell>
          <cell r="W653">
            <v>468076.03089000005</v>
          </cell>
          <cell r="X653">
            <v>779277</v>
          </cell>
          <cell r="Y653">
            <v>457202.74904999993</v>
          </cell>
          <cell r="Z653">
            <v>460935</v>
          </cell>
          <cell r="AA653">
            <v>638844.5618299999</v>
          </cell>
          <cell r="AB653">
            <v>802749</v>
          </cell>
          <cell r="AC653">
            <v>460007.91547999991</v>
          </cell>
          <cell r="AD653">
            <v>457412.99243999994</v>
          </cell>
          <cell r="AE653">
            <v>560834.82027000003</v>
          </cell>
          <cell r="AF653">
            <v>752287.34125000006</v>
          </cell>
          <cell r="AG653">
            <v>614190.0952199999</v>
          </cell>
          <cell r="AH653">
            <v>604013.92631999997</v>
          </cell>
          <cell r="AI653">
            <v>661054.45653000008</v>
          </cell>
        </row>
        <row r="654">
          <cell r="A654" t="str">
            <v>KortfrSkModer</v>
          </cell>
          <cell r="C654" t="str">
            <v>Kortfristiga skulder</v>
          </cell>
          <cell r="H654">
            <v>3846</v>
          </cell>
          <cell r="I654">
            <v>45784</v>
          </cell>
          <cell r="J654">
            <v>3933.2</v>
          </cell>
          <cell r="K654">
            <v>4984</v>
          </cell>
          <cell r="L654">
            <v>7777</v>
          </cell>
          <cell r="M654">
            <v>4940.7479999999996</v>
          </cell>
          <cell r="N654">
            <v>4603</v>
          </cell>
          <cell r="O654">
            <v>5639</v>
          </cell>
          <cell r="P654">
            <v>6615</v>
          </cell>
          <cell r="Q654">
            <v>5912.47</v>
          </cell>
          <cell r="R654">
            <v>5180</v>
          </cell>
          <cell r="S654">
            <v>6404</v>
          </cell>
          <cell r="T654">
            <v>9744</v>
          </cell>
          <cell r="U654">
            <v>10976</v>
          </cell>
          <cell r="V654">
            <v>7175</v>
          </cell>
          <cell r="W654">
            <v>10292.507610000001</v>
          </cell>
          <cell r="X654">
            <v>16326</v>
          </cell>
          <cell r="Y654">
            <v>4673.09</v>
          </cell>
          <cell r="Z654">
            <v>3845</v>
          </cell>
          <cell r="AA654">
            <v>4381.8628699999999</v>
          </cell>
          <cell r="AB654">
            <v>7404</v>
          </cell>
          <cell r="AC654">
            <v>7656.9231800000007</v>
          </cell>
          <cell r="AD654">
            <v>6883.2476900000001</v>
          </cell>
          <cell r="AE654">
            <v>8688.95543</v>
          </cell>
          <cell r="AF654">
            <v>12950.26541</v>
          </cell>
          <cell r="AG654">
            <v>141643.59041</v>
          </cell>
          <cell r="AH654">
            <v>5483.0240899999999</v>
          </cell>
          <cell r="AI654">
            <v>5455.3437000000004</v>
          </cell>
        </row>
        <row r="655">
          <cell r="A655" t="str">
            <v>SummaEKoSkulderModer</v>
          </cell>
          <cell r="C655" t="str">
            <v>Summa eget kapital och skulder</v>
          </cell>
          <cell r="E655">
            <v>0</v>
          </cell>
          <cell r="F655">
            <v>0</v>
          </cell>
          <cell r="G655">
            <v>0</v>
          </cell>
          <cell r="H655">
            <v>574422.69465000008</v>
          </cell>
          <cell r="I655">
            <v>410870.28646000003</v>
          </cell>
          <cell r="J655">
            <v>460998.61938000005</v>
          </cell>
          <cell r="K655">
            <v>459309.00717000006</v>
          </cell>
          <cell r="L655">
            <v>786919.02692000009</v>
          </cell>
          <cell r="M655">
            <v>781816.37849999999</v>
          </cell>
          <cell r="N655">
            <v>554271.62320000003</v>
          </cell>
          <cell r="O655">
            <v>553218.15350999997</v>
          </cell>
          <cell r="P655">
            <v>767391.63300000003</v>
          </cell>
          <cell r="Q655">
            <v>5912.47</v>
          </cell>
          <cell r="R655">
            <v>5180</v>
          </cell>
          <cell r="S655">
            <v>495219.05</v>
          </cell>
          <cell r="T655">
            <v>754627.55550000002</v>
          </cell>
          <cell r="U655">
            <v>437217.55550000002</v>
          </cell>
          <cell r="V655">
            <v>436290.55550000002</v>
          </cell>
          <cell r="W655">
            <v>554051.02899999998</v>
          </cell>
          <cell r="X655">
            <v>871285.49049999996</v>
          </cell>
          <cell r="Y655">
            <v>537558.32954999991</v>
          </cell>
          <cell r="Z655">
            <v>540462.49049999996</v>
          </cell>
          <cell r="AA655">
            <v>720119.5861999999</v>
          </cell>
          <cell r="AB655">
            <v>887046.16150000005</v>
          </cell>
          <cell r="AC655">
            <v>544558.00015999994</v>
          </cell>
          <cell r="AD655">
            <v>541189.40162999998</v>
          </cell>
          <cell r="AE655">
            <v>647000.78119999997</v>
          </cell>
          <cell r="AF655">
            <v>842714.61216000002</v>
          </cell>
          <cell r="AG655">
            <v>833310.69112999993</v>
          </cell>
          <cell r="AH655">
            <v>686973.9559099999</v>
          </cell>
          <cell r="AI655">
            <v>744295.67973000009</v>
          </cell>
        </row>
        <row r="656">
          <cell r="W656">
            <v>0</v>
          </cell>
          <cell r="X656">
            <v>0.55376999999862164</v>
          </cell>
          <cell r="Y656">
            <v>1.5100000891834497E-3</v>
          </cell>
          <cell r="Z656">
            <v>-0.74249999993480742</v>
          </cell>
          <cell r="AA656">
            <v>-4.9999996554106474E-4</v>
          </cell>
          <cell r="AB656">
            <v>-0.50805000006221235</v>
          </cell>
          <cell r="AC656">
            <v>0</v>
          </cell>
          <cell r="AD656">
            <v>-9.9999946542084217E-5</v>
          </cell>
          <cell r="AE656">
            <v>0</v>
          </cell>
          <cell r="AF656">
            <v>0</v>
          </cell>
          <cell r="AG656">
            <v>2.9000011272728443E-4</v>
          </cell>
          <cell r="AH656">
            <v>0</v>
          </cell>
          <cell r="AI656">
            <v>1.6999989748001099E-4</v>
          </cell>
        </row>
        <row r="657">
          <cell r="A657" t="str">
            <v>FordrDBModer</v>
          </cell>
          <cell r="C657" t="str">
            <v>Varav fordringar på dotterbolag</v>
          </cell>
          <cell r="H657">
            <v>165825.367</v>
          </cell>
          <cell r="I657">
            <v>210.578</v>
          </cell>
          <cell r="J657">
            <v>50474.688999999998</v>
          </cell>
          <cell r="K657">
            <v>48261.23</v>
          </cell>
          <cell r="L657">
            <v>377248.90600000002</v>
          </cell>
          <cell r="M657">
            <v>371314.22100000002</v>
          </cell>
          <cell r="N657">
            <v>143309.34700000001</v>
          </cell>
          <cell r="O657">
            <v>137131.508</v>
          </cell>
          <cell r="P657">
            <v>352563.13099999999</v>
          </cell>
          <cell r="Q657">
            <v>34981.142999999996</v>
          </cell>
          <cell r="R657">
            <v>21202.630020000001</v>
          </cell>
          <cell r="S657">
            <v>68759.941999999995</v>
          </cell>
          <cell r="T657">
            <v>324246.24702000001</v>
          </cell>
          <cell r="U657">
            <v>1268.8105400000065</v>
          </cell>
          <cell r="V657">
            <v>794.67309000000364</v>
          </cell>
          <cell r="W657">
            <v>108714.38709</v>
          </cell>
          <cell r="X657">
            <v>335757.04109000001</v>
          </cell>
          <cell r="Y657">
            <v>490.73313000000269</v>
          </cell>
          <cell r="Z657">
            <v>5284.7111300000024</v>
          </cell>
          <cell r="AA657">
            <v>183826.66712999999</v>
          </cell>
          <cell r="AB657">
            <v>351691.32613</v>
          </cell>
          <cell r="AC657">
            <v>4691.6871299999957</v>
          </cell>
          <cell r="AD657">
            <v>3419.1753799999951</v>
          </cell>
          <cell r="AE657">
            <v>105040.85088</v>
          </cell>
          <cell r="AF657">
            <v>120937.45388</v>
          </cell>
          <cell r="AG657">
            <v>33948.671879999994</v>
          </cell>
          <cell r="AH657">
            <v>15800.618879999996</v>
          </cell>
          <cell r="AI657">
            <v>75417.814939999997</v>
          </cell>
        </row>
        <row r="659">
          <cell r="C659" t="str">
            <v>Not 1 - Intäkter från avtal med kunder (kSEK)</v>
          </cell>
          <cell r="U659">
            <v>6675.6230000000005</v>
          </cell>
          <cell r="V659">
            <v>6676.6830000000009</v>
          </cell>
          <cell r="W659">
            <v>6521.4949999999999</v>
          </cell>
          <cell r="X659">
            <v>8306.3050000000003</v>
          </cell>
          <cell r="Y659">
            <v>9091.2990000000009</v>
          </cell>
          <cell r="Z659">
            <v>8616.7392500000005</v>
          </cell>
          <cell r="AA659">
            <v>8418.1497500000005</v>
          </cell>
          <cell r="AB659">
            <v>9933.7380000000012</v>
          </cell>
          <cell r="AC659">
            <v>9988.0560000000005</v>
          </cell>
          <cell r="AD659">
            <v>9924.1156900000005</v>
          </cell>
          <cell r="AE659">
            <v>10316.960310000002</v>
          </cell>
        </row>
        <row r="660">
          <cell r="A660" t="str">
            <v>HandCourtageVPQ</v>
          </cell>
          <cell r="C660" t="str">
            <v>Handel med courtagegenerande värdepapper</v>
          </cell>
          <cell r="U660">
            <v>169801.93268000026</v>
          </cell>
          <cell r="V660">
            <v>134770.50094999996</v>
          </cell>
          <cell r="W660">
            <v>157815.00122000006</v>
          </cell>
          <cell r="X660">
            <v>158785.96479000017</v>
          </cell>
          <cell r="Y660">
            <v>158787.31629999995</v>
          </cell>
          <cell r="Z660">
            <v>149241.85484999995</v>
          </cell>
          <cell r="AA660">
            <v>175232.94779000001</v>
          </cell>
          <cell r="AB660">
            <v>170709.19372999991</v>
          </cell>
          <cell r="AC660">
            <v>366228.45157999953</v>
          </cell>
          <cell r="AD660">
            <v>371623.72066999919</v>
          </cell>
          <cell r="AE660">
            <v>406875.98685999971</v>
          </cell>
          <cell r="AF660">
            <v>440887.6686600002</v>
          </cell>
          <cell r="AG660">
            <v>740180.7112499997</v>
          </cell>
          <cell r="AH660">
            <v>502537.33520000015</v>
          </cell>
          <cell r="AI660">
            <v>486941.65854000172</v>
          </cell>
        </row>
        <row r="661">
          <cell r="A661" t="str">
            <v>FondsparQ</v>
          </cell>
          <cell r="C661" t="str">
            <v>Fondsparande</v>
          </cell>
          <cell r="U661">
            <v>79099</v>
          </cell>
          <cell r="V661">
            <v>81346</v>
          </cell>
          <cell r="W661">
            <v>87533.623040000006</v>
          </cell>
          <cell r="X661">
            <v>78790.753479999985</v>
          </cell>
          <cell r="Y661">
            <v>78312.630389999977</v>
          </cell>
          <cell r="Z661">
            <v>88910.540230000013</v>
          </cell>
          <cell r="AA661">
            <v>94076.180880000014</v>
          </cell>
          <cell r="AB661">
            <v>97530.802289999992</v>
          </cell>
          <cell r="AC661">
            <v>108552.07922999999</v>
          </cell>
          <cell r="AD661">
            <v>96275.824850000005</v>
          </cell>
          <cell r="AE661">
            <v>117415.06747000004</v>
          </cell>
          <cell r="AF661">
            <v>136940.53993000003</v>
          </cell>
          <cell r="AG661">
            <v>174136.75902000006</v>
          </cell>
          <cell r="AH661">
            <v>180025.08644000001</v>
          </cell>
          <cell r="AI661">
            <v>188759.49108000001</v>
          </cell>
        </row>
        <row r="662">
          <cell r="A662" t="str">
            <v>FöretagstjQ</v>
          </cell>
          <cell r="C662" t="str">
            <v>Företagstjänster</v>
          </cell>
          <cell r="U662">
            <v>6576</v>
          </cell>
          <cell r="V662">
            <v>8008</v>
          </cell>
          <cell r="W662">
            <v>1517.1280000000002</v>
          </cell>
          <cell r="X662">
            <v>7496.9949999999999</v>
          </cell>
          <cell r="Y662">
            <v>4429.1239999999998</v>
          </cell>
          <cell r="Z662">
            <v>7026.2510000000002</v>
          </cell>
          <cell r="AA662">
            <v>3106.2359999999999</v>
          </cell>
          <cell r="AB662">
            <v>12725.985000000001</v>
          </cell>
          <cell r="AC662">
            <v>13644.941000000001</v>
          </cell>
          <cell r="AD662">
            <v>2497.221</v>
          </cell>
          <cell r="AE662">
            <v>3154.5309999999999</v>
          </cell>
          <cell r="AF662">
            <v>17415.866000000002</v>
          </cell>
          <cell r="AG662">
            <v>22849.661</v>
          </cell>
          <cell r="AH662">
            <v>22949.107120000001</v>
          </cell>
          <cell r="AI662">
            <v>19921.042999999998</v>
          </cell>
        </row>
        <row r="663">
          <cell r="A663" t="str">
            <v>ÖvrProvintQ</v>
          </cell>
          <cell r="C663" t="str">
            <v>Övriga provisionsintäkter</v>
          </cell>
          <cell r="U663">
            <v>40138.690319999761</v>
          </cell>
          <cell r="V663">
            <v>42325.484980000183</v>
          </cell>
          <cell r="W663">
            <v>37947.762060000008</v>
          </cell>
          <cell r="X663">
            <v>47273.073489999835</v>
          </cell>
          <cell r="Y663">
            <v>46639.228310000064</v>
          </cell>
          <cell r="Z663">
            <v>45963.028100000258</v>
          </cell>
          <cell r="AA663">
            <v>46544.139020011004</v>
          </cell>
          <cell r="AB663">
            <v>48312.996639991121</v>
          </cell>
          <cell r="AC663">
            <v>59624.236540040525</v>
          </cell>
          <cell r="AD663">
            <v>54841.78085996001</v>
          </cell>
          <cell r="AE663">
            <v>52960.165989974863</v>
          </cell>
          <cell r="AF663">
            <v>61546.387600000133</v>
          </cell>
          <cell r="AG663">
            <v>72577.21497998666</v>
          </cell>
          <cell r="AH663">
            <v>74148.694499985664</v>
          </cell>
          <cell r="AI663">
            <v>87314.229239949374</v>
          </cell>
        </row>
        <row r="664">
          <cell r="A664" t="str">
            <v>SummaIntäktAvtalKundQ</v>
          </cell>
          <cell r="C664" t="str">
            <v>Summa</v>
          </cell>
          <cell r="U664">
            <v>295615.62300000002</v>
          </cell>
          <cell r="V664">
            <v>266449.98593000014</v>
          </cell>
          <cell r="W664">
            <v>284813.51432000007</v>
          </cell>
          <cell r="X664">
            <v>292346.78675999999</v>
          </cell>
          <cell r="Y664">
            <v>288168.299</v>
          </cell>
          <cell r="Z664">
            <v>291141.67418000021</v>
          </cell>
          <cell r="AA664">
            <v>318959.50369001098</v>
          </cell>
          <cell r="AB664">
            <v>329278.97765999101</v>
          </cell>
          <cell r="AC664">
            <v>548049.70835004002</v>
          </cell>
          <cell r="AD664">
            <v>525238.54737995926</v>
          </cell>
          <cell r="AE664">
            <v>580405.75131997454</v>
          </cell>
          <cell r="AF664">
            <v>656790.46219000034</v>
          </cell>
          <cell r="AG664">
            <v>1009744.3462499863</v>
          </cell>
          <cell r="AH664">
            <v>779660.2232599858</v>
          </cell>
          <cell r="AI664">
            <v>782936.42185995099</v>
          </cell>
        </row>
        <row r="665">
          <cell r="U665">
            <v>0.34486999997170642</v>
          </cell>
          <cell r="V665">
            <v>0</v>
          </cell>
          <cell r="W665">
            <v>2.0954757928848267E-9</v>
          </cell>
          <cell r="X665">
            <v>1.9808067008852959E-7</v>
          </cell>
          <cell r="Y665">
            <v>0.14462999999523163</v>
          </cell>
          <cell r="Z665">
            <v>-4.0036742575466633E-5</v>
          </cell>
          <cell r="AA665">
            <v>4.9942173063755035E-8</v>
          </cell>
          <cell r="AB665">
            <v>-1.1059455573558807E-8</v>
          </cell>
          <cell r="AC665">
            <v>4.0978193283081055E-8</v>
          </cell>
          <cell r="AD665">
            <v>-4.1793100535869598E-8</v>
          </cell>
          <cell r="AE665">
            <v>-2.5262124836444855E-8</v>
          </cell>
          <cell r="AF665">
            <v>5.3551048040390015E-9</v>
          </cell>
          <cell r="AG665">
            <v>-1.1292286217212677E-8</v>
          </cell>
          <cell r="AH665">
            <v>-2.200249582529068E-8</v>
          </cell>
          <cell r="AI665">
            <v>-3.6088749766349792E-8</v>
          </cell>
        </row>
        <row r="666">
          <cell r="C666" t="str">
            <v>Tidpunkt för intäktsredovisning</v>
          </cell>
        </row>
        <row r="667">
          <cell r="A667" t="str">
            <v>TjVaraÖverfvidtidpQ</v>
          </cell>
          <cell r="C667" t="str">
            <v>Tjänst eller vara överförd till kund vid en tidpunkt</v>
          </cell>
          <cell r="U667">
            <v>295615.62300000002</v>
          </cell>
          <cell r="V667">
            <v>266449.98593000014</v>
          </cell>
          <cell r="W667">
            <v>284813.51432000007</v>
          </cell>
          <cell r="X667">
            <v>292346.78675999999</v>
          </cell>
          <cell r="Y667">
            <v>288168.299</v>
          </cell>
          <cell r="Z667">
            <v>291141.67418000021</v>
          </cell>
          <cell r="AA667">
            <v>318959.50369001098</v>
          </cell>
          <cell r="AB667">
            <v>329278.97765999101</v>
          </cell>
          <cell r="AC667">
            <v>548049.70835004002</v>
          </cell>
          <cell r="AD667">
            <v>525238.54737995926</v>
          </cell>
          <cell r="AE667">
            <v>580405.75131997454</v>
          </cell>
          <cell r="AF667">
            <v>656790.46219000034</v>
          </cell>
          <cell r="AG667">
            <v>1009744.3462499863</v>
          </cell>
          <cell r="AH667">
            <v>779660.2232599858</v>
          </cell>
          <cell r="AI667">
            <v>782936.42185995099</v>
          </cell>
        </row>
        <row r="668">
          <cell r="A668" t="str">
            <v>TjVaraÖverfövertidQ</v>
          </cell>
          <cell r="C668" t="str">
            <v>Tjänst eller vara överförd till kund över tid</v>
          </cell>
          <cell r="U668">
            <v>0</v>
          </cell>
          <cell r="V668">
            <v>0</v>
          </cell>
          <cell r="W668">
            <v>0</v>
          </cell>
          <cell r="X668">
            <v>0</v>
          </cell>
          <cell r="Y668">
            <v>0</v>
          </cell>
          <cell r="Z668">
            <v>0</v>
          </cell>
          <cell r="AA668">
            <v>0</v>
          </cell>
          <cell r="AB668">
            <v>0</v>
          </cell>
          <cell r="AC668">
            <v>0</v>
          </cell>
          <cell r="AD668">
            <v>0</v>
          </cell>
          <cell r="AE668">
            <v>0</v>
          </cell>
          <cell r="AF668">
            <v>0</v>
          </cell>
          <cell r="AG668">
            <v>0</v>
          </cell>
          <cell r="AH668">
            <v>0</v>
          </cell>
          <cell r="AI668">
            <v>0</v>
          </cell>
        </row>
        <row r="669">
          <cell r="A669" t="str">
            <v>SummaIntäktAvtalKundQ</v>
          </cell>
          <cell r="C669" t="str">
            <v>Summa</v>
          </cell>
          <cell r="U669">
            <v>295615.62300000002</v>
          </cell>
          <cell r="V669">
            <v>266449.98593000014</v>
          </cell>
          <cell r="W669">
            <v>284813.51432000007</v>
          </cell>
          <cell r="X669">
            <v>292346.78675999999</v>
          </cell>
          <cell r="Y669">
            <v>288168.299</v>
          </cell>
          <cell r="Z669">
            <v>291141.67418000021</v>
          </cell>
          <cell r="AA669">
            <v>318959.50369001098</v>
          </cell>
          <cell r="AB669">
            <v>329278.97765999101</v>
          </cell>
          <cell r="AC669">
            <v>548049.70835004002</v>
          </cell>
          <cell r="AD669">
            <v>525238.54737995926</v>
          </cell>
          <cell r="AE669">
            <v>580405.75131997454</v>
          </cell>
          <cell r="AF669">
            <v>656790.46219000034</v>
          </cell>
          <cell r="AG669">
            <v>1009744.3462499863</v>
          </cell>
          <cell r="AH669">
            <v>779660.2232599858</v>
          </cell>
          <cell r="AI669">
            <v>782936.42185995099</v>
          </cell>
        </row>
        <row r="670">
          <cell r="U670">
            <v>0</v>
          </cell>
          <cell r="V670">
            <v>0</v>
          </cell>
          <cell r="W670">
            <v>0</v>
          </cell>
          <cell r="X670">
            <v>0</v>
          </cell>
          <cell r="Y670">
            <v>0</v>
          </cell>
          <cell r="Z670">
            <v>0</v>
          </cell>
          <cell r="AA670">
            <v>0</v>
          </cell>
          <cell r="AB670">
            <v>0</v>
          </cell>
          <cell r="AC670">
            <v>0</v>
          </cell>
          <cell r="AD670">
            <v>0</v>
          </cell>
          <cell r="AE670">
            <v>0</v>
          </cell>
          <cell r="AF670">
            <v>0</v>
          </cell>
          <cell r="AG670">
            <v>0</v>
          </cell>
          <cell r="AH670">
            <v>0</v>
          </cell>
          <cell r="AI670">
            <v>0</v>
          </cell>
        </row>
        <row r="672">
          <cell r="C672" t="str">
            <v>Not 1 - Intäkter från avtal med kunder (kSEK)</v>
          </cell>
        </row>
        <row r="673">
          <cell r="A673" t="str">
            <v>HandCourtageVPYTD</v>
          </cell>
          <cell r="C673" t="str">
            <v>Handel med courtagegenerande värdepapper</v>
          </cell>
          <cell r="U673">
            <v>169801.93268000026</v>
          </cell>
          <cell r="V673">
            <v>304572.43363000022</v>
          </cell>
          <cell r="W673">
            <v>462387.43485000031</v>
          </cell>
          <cell r="X673">
            <v>621173.39964000043</v>
          </cell>
          <cell r="Y673">
            <v>158787.31629999995</v>
          </cell>
          <cell r="Z673">
            <v>308029.17114999989</v>
          </cell>
          <cell r="AA673">
            <v>483262.1189399999</v>
          </cell>
          <cell r="AB673">
            <v>653971.31266999978</v>
          </cell>
          <cell r="AC673">
            <v>366228.45157999953</v>
          </cell>
          <cell r="AD673">
            <v>737852.17224999866</v>
          </cell>
          <cell r="AE673">
            <v>1144728.1591099985</v>
          </cell>
          <cell r="AF673">
            <v>1585615.8277699987</v>
          </cell>
          <cell r="AG673">
            <v>740180.7112499997</v>
          </cell>
          <cell r="AH673">
            <v>1242718.0464499998</v>
          </cell>
          <cell r="AI673">
            <v>1729659.7049900014</v>
          </cell>
        </row>
        <row r="674">
          <cell r="A674" t="str">
            <v>FondsparYTD</v>
          </cell>
          <cell r="C674" t="str">
            <v>Fondsparande</v>
          </cell>
          <cell r="U674">
            <v>79099</v>
          </cell>
          <cell r="V674">
            <v>160445</v>
          </cell>
          <cell r="W674">
            <v>247978.62304000001</v>
          </cell>
          <cell r="X674">
            <v>326769.37651999999</v>
          </cell>
          <cell r="Y674">
            <v>78312.630389999977</v>
          </cell>
          <cell r="Z674">
            <v>167223.17061999999</v>
          </cell>
          <cell r="AA674">
            <v>261299.35149999999</v>
          </cell>
          <cell r="AB674">
            <v>358830.15379000001</v>
          </cell>
          <cell r="AC674">
            <v>108552.07922999999</v>
          </cell>
          <cell r="AD674">
            <v>204827.90408000001</v>
          </cell>
          <cell r="AE674">
            <v>322242.97155000002</v>
          </cell>
          <cell r="AF674">
            <v>459183.51148000004</v>
          </cell>
          <cell r="AG674">
            <v>174136.75902000006</v>
          </cell>
          <cell r="AH674">
            <v>354161.8454600001</v>
          </cell>
          <cell r="AI674">
            <v>542921.33654000005</v>
          </cell>
        </row>
        <row r="675">
          <cell r="A675" t="str">
            <v>FöretagstjYTD</v>
          </cell>
          <cell r="C675" t="str">
            <v>Företagstjänster</v>
          </cell>
          <cell r="U675">
            <v>6576</v>
          </cell>
          <cell r="V675">
            <v>14584</v>
          </cell>
          <cell r="W675">
            <v>16101.128000000001</v>
          </cell>
          <cell r="X675">
            <v>23598.123</v>
          </cell>
          <cell r="Y675">
            <v>4429.1239999999998</v>
          </cell>
          <cell r="Z675">
            <v>11455.375</v>
          </cell>
          <cell r="AA675">
            <v>14561.611000000001</v>
          </cell>
          <cell r="AB675">
            <v>27287.596000000001</v>
          </cell>
          <cell r="AC675">
            <v>13644.941000000001</v>
          </cell>
          <cell r="AD675">
            <v>16142.162</v>
          </cell>
          <cell r="AE675">
            <v>19296.692999999999</v>
          </cell>
          <cell r="AF675">
            <v>36712.559000000001</v>
          </cell>
          <cell r="AG675">
            <v>22849.661</v>
          </cell>
          <cell r="AH675">
            <v>45798.768120000001</v>
          </cell>
          <cell r="AI675">
            <v>65719.811119999998</v>
          </cell>
        </row>
        <row r="676">
          <cell r="A676" t="str">
            <v>ÖvrProvintYTD</v>
          </cell>
          <cell r="C676" t="str">
            <v>Övriga provisionsintäkter</v>
          </cell>
          <cell r="U676">
            <v>40138.690319999761</v>
          </cell>
          <cell r="V676">
            <v>82464.175299999944</v>
          </cell>
          <cell r="W676">
            <v>120411.93735999995</v>
          </cell>
          <cell r="X676">
            <v>167685.01084999979</v>
          </cell>
          <cell r="Y676">
            <v>46639.228310000064</v>
          </cell>
          <cell r="Z676">
            <v>92602.256410000322</v>
          </cell>
          <cell r="AA676">
            <v>139146.39543001133</v>
          </cell>
          <cell r="AB676">
            <v>187459.39207000245</v>
          </cell>
          <cell r="AC676">
            <v>59624.236540040525</v>
          </cell>
          <cell r="AD676">
            <v>114466.01740000054</v>
          </cell>
          <cell r="AE676">
            <v>167426.1833899754</v>
          </cell>
          <cell r="AF676">
            <v>228972.57098997553</v>
          </cell>
          <cell r="AG676">
            <v>72577.21497998666</v>
          </cell>
          <cell r="AH676">
            <v>146725.90947997232</v>
          </cell>
          <cell r="AI676">
            <v>234040.1387199217</v>
          </cell>
        </row>
        <row r="677">
          <cell r="A677" t="str">
            <v>SummaIntäktAvtalKundYTD</v>
          </cell>
          <cell r="C677" t="str">
            <v>Summa</v>
          </cell>
          <cell r="U677">
            <v>295615.62300000002</v>
          </cell>
          <cell r="V677">
            <v>562065.6089300001</v>
          </cell>
          <cell r="W677">
            <v>846879.12325000018</v>
          </cell>
          <cell r="X677">
            <v>1139225.9100100002</v>
          </cell>
          <cell r="Y677">
            <v>288168.299</v>
          </cell>
          <cell r="Z677">
            <v>579309.9731800002</v>
          </cell>
          <cell r="AA677">
            <v>898269.47687001119</v>
          </cell>
          <cell r="AB677">
            <v>1227548.4545300021</v>
          </cell>
          <cell r="AC677">
            <v>548049.70835004002</v>
          </cell>
          <cell r="AD677">
            <v>1073288.2557299994</v>
          </cell>
          <cell r="AE677">
            <v>1653694.0070499741</v>
          </cell>
          <cell r="AF677">
            <v>2310484.4692399744</v>
          </cell>
          <cell r="AG677">
            <v>1009744.3462499863</v>
          </cell>
          <cell r="AH677">
            <v>1789404.5695099721</v>
          </cell>
          <cell r="AI677">
            <v>2572340.9913699231</v>
          </cell>
        </row>
        <row r="679">
          <cell r="C679" t="str">
            <v>Tidpunkt för intäktsredovisning</v>
          </cell>
        </row>
        <row r="680">
          <cell r="A680" t="str">
            <v>TjVaraÖverfvidtidpYTD</v>
          </cell>
          <cell r="C680" t="str">
            <v>Tjänst eller vara överförd till kund vid en tidpunkt</v>
          </cell>
          <cell r="U680">
            <v>295615.62300000002</v>
          </cell>
          <cell r="V680">
            <v>562065.6089300001</v>
          </cell>
          <cell r="W680">
            <v>846879.12325000018</v>
          </cell>
          <cell r="X680">
            <v>1139225.9100100002</v>
          </cell>
          <cell r="Y680">
            <v>288168.299</v>
          </cell>
          <cell r="Z680">
            <v>579309.9731800002</v>
          </cell>
          <cell r="AA680">
            <v>898269.47687001119</v>
          </cell>
          <cell r="AB680">
            <v>1227548.4545300021</v>
          </cell>
          <cell r="AC680">
            <v>548049.70835004002</v>
          </cell>
          <cell r="AD680">
            <v>1073288.2557299994</v>
          </cell>
          <cell r="AE680">
            <v>1653694.0070499741</v>
          </cell>
          <cell r="AF680">
            <v>2310484.4692399744</v>
          </cell>
          <cell r="AG680">
            <v>1009744.3462499863</v>
          </cell>
          <cell r="AH680">
            <v>1789404.5695099721</v>
          </cell>
          <cell r="AI680">
            <v>2572340.9913699231</v>
          </cell>
        </row>
        <row r="681">
          <cell r="A681" t="str">
            <v>TjVaraÖverfövertidYTD</v>
          </cell>
          <cell r="C681" t="str">
            <v>Tjänst eller vara överförd till kund över tid</v>
          </cell>
          <cell r="U681">
            <v>0</v>
          </cell>
          <cell r="V681">
            <v>0</v>
          </cell>
          <cell r="W681">
            <v>0</v>
          </cell>
          <cell r="X681">
            <v>0</v>
          </cell>
          <cell r="Y681">
            <v>0</v>
          </cell>
          <cell r="Z681">
            <v>0</v>
          </cell>
          <cell r="AA681">
            <v>0</v>
          </cell>
          <cell r="AB681">
            <v>0</v>
          </cell>
          <cell r="AC681">
            <v>0</v>
          </cell>
          <cell r="AD681">
            <v>0</v>
          </cell>
          <cell r="AE681">
            <v>0</v>
          </cell>
          <cell r="AF681">
            <v>0</v>
          </cell>
          <cell r="AG681">
            <v>0</v>
          </cell>
          <cell r="AH681">
            <v>0</v>
          </cell>
          <cell r="AI681">
            <v>0</v>
          </cell>
        </row>
        <row r="682">
          <cell r="A682" t="str">
            <v>SummaIntäktAvtalKundYTD</v>
          </cell>
          <cell r="C682" t="str">
            <v>Summa</v>
          </cell>
          <cell r="U682">
            <v>295615.62300000002</v>
          </cell>
          <cell r="V682">
            <v>562065.6089300001</v>
          </cell>
          <cell r="W682">
            <v>846879.12325000018</v>
          </cell>
          <cell r="X682">
            <v>1139225.9100100002</v>
          </cell>
          <cell r="Y682">
            <v>288168.299</v>
          </cell>
          <cell r="Z682">
            <v>579309.9731800002</v>
          </cell>
          <cell r="AA682">
            <v>898269.47687001119</v>
          </cell>
          <cell r="AB682">
            <v>1227548.4545300021</v>
          </cell>
          <cell r="AC682">
            <v>548049.70835004002</v>
          </cell>
          <cell r="AD682">
            <v>1073288.2557299994</v>
          </cell>
          <cell r="AE682">
            <v>1653694.0070499741</v>
          </cell>
          <cell r="AF682">
            <v>2310484.4692399744</v>
          </cell>
          <cell r="AG682">
            <v>1009744.3462499863</v>
          </cell>
          <cell r="AH682">
            <v>1789404.5695099721</v>
          </cell>
          <cell r="AI682">
            <v>2572340.9913699231</v>
          </cell>
        </row>
        <row r="684">
          <cell r="C684" t="str">
            <v>Not 1 - Intäkter från avtal med kunder (kSEK)</v>
          </cell>
        </row>
        <row r="685">
          <cell r="A685" t="str">
            <v>HandCourtageVP4Q</v>
          </cell>
          <cell r="C685" t="str">
            <v>Handel med courtagegenerande värdepapper</v>
          </cell>
          <cell r="U685">
            <v>169801.93268000026</v>
          </cell>
          <cell r="V685">
            <v>304572.43363000022</v>
          </cell>
          <cell r="W685">
            <v>462387.43485000031</v>
          </cell>
          <cell r="X685">
            <v>621173.39964000043</v>
          </cell>
          <cell r="Y685">
            <v>158787.31629999995</v>
          </cell>
          <cell r="Z685">
            <v>624630.13716000016</v>
          </cell>
          <cell r="AA685">
            <v>642048.08373000007</v>
          </cell>
          <cell r="AB685">
            <v>653971.31266999978</v>
          </cell>
          <cell r="AC685">
            <v>861412.44794999936</v>
          </cell>
          <cell r="AD685">
            <v>1083794.3137699987</v>
          </cell>
          <cell r="AE685">
            <v>1315437.3528399984</v>
          </cell>
          <cell r="AF685">
            <v>1585615.8277699987</v>
          </cell>
          <cell r="AG685">
            <v>1959568.0874399988</v>
          </cell>
          <cell r="AI685">
            <v>2170547.3736500018</v>
          </cell>
        </row>
        <row r="686">
          <cell r="A686" t="str">
            <v>Fondspar4Q</v>
          </cell>
          <cell r="C686" t="str">
            <v>Fondsparande</v>
          </cell>
          <cell r="U686">
            <v>79099</v>
          </cell>
          <cell r="V686">
            <v>160445</v>
          </cell>
          <cell r="W686">
            <v>247978.62304000001</v>
          </cell>
          <cell r="X686">
            <v>326769.37651999999</v>
          </cell>
          <cell r="Y686">
            <v>78312.630389999977</v>
          </cell>
          <cell r="Z686">
            <v>333547.54713999998</v>
          </cell>
          <cell r="AA686">
            <v>340090.10498</v>
          </cell>
          <cell r="AB686">
            <v>358830.15379000001</v>
          </cell>
          <cell r="AC686">
            <v>389069.60263000004</v>
          </cell>
          <cell r="AD686">
            <v>396434.88725000003</v>
          </cell>
          <cell r="AE686">
            <v>419773.77384000004</v>
          </cell>
          <cell r="AF686">
            <v>459183.51148000004</v>
          </cell>
          <cell r="AG686">
            <v>524768.19127000007</v>
          </cell>
          <cell r="AI686">
            <v>679861.87647000002</v>
          </cell>
        </row>
        <row r="687">
          <cell r="A687" t="str">
            <v>Företagstj4Q</v>
          </cell>
          <cell r="C687" t="str">
            <v>Företagstjänster</v>
          </cell>
          <cell r="U687">
            <v>6576</v>
          </cell>
          <cell r="V687">
            <v>14584</v>
          </cell>
          <cell r="W687">
            <v>16101.128000000001</v>
          </cell>
          <cell r="X687">
            <v>23598.123</v>
          </cell>
          <cell r="Y687">
            <v>4429.1239999999998</v>
          </cell>
          <cell r="Z687">
            <v>20469.498</v>
          </cell>
          <cell r="AA687">
            <v>22058.606</v>
          </cell>
          <cell r="AB687">
            <v>27287.596000000001</v>
          </cell>
          <cell r="AC687">
            <v>36503.413</v>
          </cell>
          <cell r="AD687">
            <v>31974.383000000005</v>
          </cell>
          <cell r="AE687">
            <v>32022.678</v>
          </cell>
          <cell r="AF687">
            <v>36712.559000000001</v>
          </cell>
          <cell r="AG687">
            <v>45917.279000000002</v>
          </cell>
          <cell r="AI687">
            <v>83135.677120000008</v>
          </cell>
        </row>
        <row r="688">
          <cell r="A688" t="str">
            <v>ÖvrProvint4Q</v>
          </cell>
          <cell r="C688" t="str">
            <v>Övriga provisionsintäkter</v>
          </cell>
          <cell r="U688">
            <v>40138.690319999761</v>
          </cell>
          <cell r="V688">
            <v>82464.175299999944</v>
          </cell>
          <cell r="W688">
            <v>120411.93735999995</v>
          </cell>
          <cell r="X688">
            <v>167685.01084999979</v>
          </cell>
          <cell r="Y688">
            <v>46639.228310000064</v>
          </cell>
          <cell r="Z688">
            <v>177823.09196000017</v>
          </cell>
          <cell r="AA688">
            <v>186419.46892001116</v>
          </cell>
          <cell r="AB688">
            <v>187459.39207000245</v>
          </cell>
          <cell r="AC688">
            <v>200444.40030004291</v>
          </cell>
          <cell r="AD688">
            <v>209323.15306000266</v>
          </cell>
          <cell r="AE688">
            <v>215739.18002996652</v>
          </cell>
          <cell r="AF688">
            <v>228972.57098997553</v>
          </cell>
          <cell r="AG688">
            <v>241925.54942992167</v>
          </cell>
          <cell r="AI688">
            <v>295586.52631992183</v>
          </cell>
        </row>
        <row r="689">
          <cell r="A689" t="str">
            <v>SummaIntäktAvtalKund4Q</v>
          </cell>
          <cell r="C689" t="str">
            <v>Summa</v>
          </cell>
          <cell r="U689">
            <v>295615.62300000002</v>
          </cell>
          <cell r="V689">
            <v>562065.6089300001</v>
          </cell>
          <cell r="W689">
            <v>846879.12325000018</v>
          </cell>
          <cell r="X689">
            <v>1139225.9100100002</v>
          </cell>
          <cell r="Y689">
            <v>288168.299</v>
          </cell>
          <cell r="Z689">
            <v>1156470.2742600003</v>
          </cell>
          <cell r="AA689">
            <v>1190616.2636300111</v>
          </cell>
          <cell r="AB689">
            <v>1227548.4545300021</v>
          </cell>
          <cell r="AC689">
            <v>1487429.8638800422</v>
          </cell>
          <cell r="AD689">
            <v>1721526.7370800013</v>
          </cell>
          <cell r="AE689">
            <v>1982972.9847099651</v>
          </cell>
          <cell r="AF689">
            <v>2310484.4692399744</v>
          </cell>
          <cell r="AG689">
            <v>2772179.1071399204</v>
          </cell>
          <cell r="AI689">
            <v>3229131.4535599239</v>
          </cell>
        </row>
        <row r="691">
          <cell r="C691" t="str">
            <v>Tidpunkt för intäktsredovisning</v>
          </cell>
        </row>
        <row r="692">
          <cell r="A692" t="str">
            <v>TjVaraÖverfvidtidp4Q</v>
          </cell>
          <cell r="C692" t="str">
            <v>Tjänst eller vara överförd till kund vid en tidpunkt</v>
          </cell>
          <cell r="U692">
            <v>295615.62300000002</v>
          </cell>
          <cell r="V692">
            <v>562065.6089300001</v>
          </cell>
          <cell r="W692">
            <v>846879.12325000018</v>
          </cell>
          <cell r="X692">
            <v>1139225.9100100002</v>
          </cell>
          <cell r="Y692">
            <v>1131778.5860100002</v>
          </cell>
          <cell r="Z692">
            <v>1156470.2742600003</v>
          </cell>
          <cell r="AA692">
            <v>1190616.2636300111</v>
          </cell>
          <cell r="AB692">
            <v>1227548.4545300021</v>
          </cell>
          <cell r="AC692">
            <v>1487429.8638800422</v>
          </cell>
          <cell r="AD692">
            <v>1721526.7370800013</v>
          </cell>
          <cell r="AE692">
            <v>1982972.9847099651</v>
          </cell>
          <cell r="AF692">
            <v>2310484.4692399744</v>
          </cell>
          <cell r="AG692">
            <v>2772179.1071399204</v>
          </cell>
          <cell r="AI692">
            <v>3229131.4535599239</v>
          </cell>
        </row>
        <row r="693">
          <cell r="A693" t="str">
            <v>TjVaraÖverfövertid4Q</v>
          </cell>
          <cell r="C693" t="str">
            <v>Tjänst eller vara överförd till kund över tid</v>
          </cell>
          <cell r="U693">
            <v>0</v>
          </cell>
          <cell r="V693">
            <v>0</v>
          </cell>
          <cell r="W693">
            <v>0</v>
          </cell>
          <cell r="X693">
            <v>0</v>
          </cell>
          <cell r="Y693">
            <v>0</v>
          </cell>
          <cell r="Z693">
            <v>0</v>
          </cell>
          <cell r="AA693">
            <v>0</v>
          </cell>
          <cell r="AB693">
            <v>0</v>
          </cell>
          <cell r="AC693">
            <v>0</v>
          </cell>
          <cell r="AD693">
            <v>0</v>
          </cell>
          <cell r="AE693">
            <v>0</v>
          </cell>
          <cell r="AF693">
            <v>0</v>
          </cell>
          <cell r="AG693">
            <v>0</v>
          </cell>
          <cell r="AI693">
            <v>0</v>
          </cell>
        </row>
        <row r="694">
          <cell r="A694" t="str">
            <v>SummaIntäktAvtalKund4Q</v>
          </cell>
          <cell r="C694" t="str">
            <v>Summa</v>
          </cell>
          <cell r="U694">
            <v>295615.62300000002</v>
          </cell>
          <cell r="V694">
            <v>562065.6089300001</v>
          </cell>
          <cell r="W694">
            <v>846879.12325000018</v>
          </cell>
          <cell r="X694">
            <v>1139225.9100100002</v>
          </cell>
          <cell r="Y694">
            <v>1131778.5860100002</v>
          </cell>
          <cell r="Z694">
            <v>1156470.2742600003</v>
          </cell>
          <cell r="AA694">
            <v>1190616.2636300111</v>
          </cell>
          <cell r="AB694">
            <v>1227548.4545300021</v>
          </cell>
          <cell r="AC694">
            <v>1487429.8638800422</v>
          </cell>
          <cell r="AD694">
            <v>1721526.7370800013</v>
          </cell>
          <cell r="AE694">
            <v>1982972.9847099651</v>
          </cell>
          <cell r="AF694">
            <v>2310484.4692399744</v>
          </cell>
          <cell r="AG694">
            <v>2772179.1071399204</v>
          </cell>
          <cell r="AI694">
            <v>3229131.4535599239</v>
          </cell>
        </row>
        <row r="696">
          <cell r="C696" t="str">
            <v>Not 2 - Provisionsintäkter(kSEK)</v>
          </cell>
        </row>
        <row r="697">
          <cell r="A697" t="str">
            <v>ValutaintäkterbruttoQ</v>
          </cell>
          <cell r="C697" t="str">
            <v>Valutaintäkter, brutto</v>
          </cell>
          <cell r="Y697">
            <v>31567.26228000001</v>
          </cell>
          <cell r="Z697">
            <v>29317.766330000002</v>
          </cell>
          <cell r="AA697">
            <v>32909.92371000001</v>
          </cell>
          <cell r="AB697">
            <v>30840.221610000004</v>
          </cell>
          <cell r="AC697">
            <v>72656.789439999993</v>
          </cell>
          <cell r="AD697">
            <v>80547.816159999988</v>
          </cell>
          <cell r="AE697">
            <v>87975.921750000009</v>
          </cell>
          <cell r="AF697">
            <v>114013.33226</v>
          </cell>
          <cell r="AG697">
            <v>247346.30787999992</v>
          </cell>
          <cell r="AH697">
            <v>128869.46822999998</v>
          </cell>
          <cell r="AI697">
            <v>114599.28397000002</v>
          </cell>
        </row>
        <row r="699">
          <cell r="C699" t="str">
            <v>Not 2 - Provisionsintäkter(kSEK)</v>
          </cell>
        </row>
        <row r="700">
          <cell r="A700" t="str">
            <v>ValutaintäkterbruttoYTD</v>
          </cell>
          <cell r="C700" t="str">
            <v>Valutaintäkter, brutto</v>
          </cell>
          <cell r="AC700">
            <v>72656.789439999993</v>
          </cell>
          <cell r="AD700">
            <v>153204.60559999998</v>
          </cell>
          <cell r="AE700">
            <v>241180.52734999999</v>
          </cell>
          <cell r="AF700">
            <v>355193.85960999998</v>
          </cell>
          <cell r="AG700">
            <v>247346.30787999992</v>
          </cell>
          <cell r="AH700">
            <v>376215.77610999992</v>
          </cell>
          <cell r="AI700">
            <v>490815.06007999997</v>
          </cell>
        </row>
        <row r="702">
          <cell r="C702" t="str">
            <v>Not 2 - Provisionsintäkter(kSEK)</v>
          </cell>
        </row>
        <row r="703">
          <cell r="A703" t="str">
            <v>Valutaintäkterbrutto4Q</v>
          </cell>
          <cell r="AC703">
            <v>165724.70109000002</v>
          </cell>
          <cell r="AD703">
            <v>216954.75091999999</v>
          </cell>
          <cell r="AE703">
            <v>272020.74896</v>
          </cell>
          <cell r="AF703">
            <v>355193.85960999998</v>
          </cell>
          <cell r="AG703">
            <v>529883.37804999994</v>
          </cell>
          <cell r="AH703">
            <v>578205.03011999989</v>
          </cell>
          <cell r="AI703">
            <v>604828.3923399999</v>
          </cell>
        </row>
        <row r="705">
          <cell r="C705" t="str">
            <v>Not 2 - Provisionskostnader (kSEK)</v>
          </cell>
        </row>
        <row r="706">
          <cell r="A706" t="str">
            <v>TranskostQ</v>
          </cell>
          <cell r="C706" t="str">
            <v>Transaktionskostnader</v>
          </cell>
          <cell r="U706">
            <v>-21917</v>
          </cell>
          <cell r="V706">
            <v>-20447.699000000001</v>
          </cell>
          <cell r="W706">
            <v>-21335.14399</v>
          </cell>
          <cell r="X706">
            <v>-21399.82071</v>
          </cell>
          <cell r="Y706">
            <v>-21526.510200000004</v>
          </cell>
          <cell r="Z706">
            <v>-21381.229369999997</v>
          </cell>
          <cell r="AA706">
            <v>-24401.146069999999</v>
          </cell>
          <cell r="AB706">
            <v>-23016.24962000001</v>
          </cell>
          <cell r="AC706">
            <v>-37972.476911072001</v>
          </cell>
          <cell r="AD706">
            <v>-39206.426276608006</v>
          </cell>
          <cell r="AE706">
            <v>-44653.204286607994</v>
          </cell>
          <cell r="AF706">
            <v>-47753.498075711999</v>
          </cell>
          <cell r="AG706">
            <v>-76642.57840443599</v>
          </cell>
          <cell r="AH706">
            <v>-52839.965013307963</v>
          </cell>
          <cell r="AI706">
            <v>-52133.207353307997</v>
          </cell>
        </row>
        <row r="707">
          <cell r="A707" t="str">
            <v>BetalförmprovQ</v>
          </cell>
          <cell r="C707" t="str">
            <v>Betalningsförmedlingsprovisioner</v>
          </cell>
          <cell r="U707">
            <v>-13926</v>
          </cell>
          <cell r="V707">
            <v>-12417.828860000001</v>
          </cell>
          <cell r="W707">
            <v>-11150.802590000003</v>
          </cell>
          <cell r="X707">
            <v>-11325.995049999998</v>
          </cell>
          <cell r="Y707">
            <v>-11466</v>
          </cell>
          <cell r="Z707">
            <v>-14143.772790000003</v>
          </cell>
          <cell r="AA707">
            <v>-13927.286399999997</v>
          </cell>
          <cell r="AB707">
            <v>-14045.023930000001</v>
          </cell>
          <cell r="AC707">
            <v>-18684.457329999997</v>
          </cell>
          <cell r="AD707">
            <v>-21503.581249999999</v>
          </cell>
          <cell r="AE707">
            <v>-20853.30958999999</v>
          </cell>
          <cell r="AF707">
            <v>-24662.893999999997</v>
          </cell>
          <cell r="AG707">
            <v>-32089.364070000007</v>
          </cell>
          <cell r="AH707">
            <v>-29520.56223999997</v>
          </cell>
          <cell r="AI707">
            <v>-26760.838579999989</v>
          </cell>
        </row>
        <row r="708">
          <cell r="C708" t="str">
            <v>Övriga provisionskostnader</v>
          </cell>
          <cell r="U708">
            <v>-11010.549409999512</v>
          </cell>
          <cell r="V708">
            <v>-12196.950599998032</v>
          </cell>
          <cell r="W708">
            <v>-9923.6199700014986</v>
          </cell>
          <cell r="X708">
            <v>-15904.627830001351</v>
          </cell>
          <cell r="Y708">
            <v>-17702.797487323536</v>
          </cell>
          <cell r="Z708">
            <v>-13438.156598222908</v>
          </cell>
          <cell r="AA708">
            <v>-12130.424226423289</v>
          </cell>
          <cell r="AB708">
            <v>-12789.858268026292</v>
          </cell>
          <cell r="AC708">
            <v>-13119.170982844473</v>
          </cell>
          <cell r="AD708">
            <v>-14136.055730344902</v>
          </cell>
          <cell r="AE708">
            <v>-14201.112779510797</v>
          </cell>
          <cell r="AF708">
            <v>-15523.749339995775</v>
          </cell>
          <cell r="AG708">
            <v>-20011.385463193074</v>
          </cell>
          <cell r="AH708">
            <v>-23950.429123196227</v>
          </cell>
          <cell r="AI708">
            <v>-19944.933183198882</v>
          </cell>
        </row>
        <row r="709">
          <cell r="C709" t="str">
            <v>Summa</v>
          </cell>
          <cell r="U709">
            <v>-46853.549409999512</v>
          </cell>
          <cell r="V709">
            <v>-45062.478459998034</v>
          </cell>
          <cell r="W709">
            <v>-42409.566550001502</v>
          </cell>
          <cell r="X709">
            <v>-48630.443590001349</v>
          </cell>
          <cell r="Y709">
            <v>-50695.30768732354</v>
          </cell>
          <cell r="Z709">
            <v>-48963.158758222911</v>
          </cell>
          <cell r="AA709">
            <v>-50458.856696423289</v>
          </cell>
          <cell r="AB709">
            <v>-49851.131818026304</v>
          </cell>
          <cell r="AC709">
            <v>-69776.105223916471</v>
          </cell>
          <cell r="AD709">
            <v>-74846.063256952912</v>
          </cell>
          <cell r="AE709">
            <v>-79707.62665611878</v>
          </cell>
          <cell r="AF709">
            <v>-87940.141415707767</v>
          </cell>
          <cell r="AG709">
            <v>-128743.32793762907</v>
          </cell>
          <cell r="AH709">
            <v>-106310.95637650415</v>
          </cell>
          <cell r="AI709">
            <v>-98838.979116506875</v>
          </cell>
        </row>
        <row r="711">
          <cell r="C711" t="str">
            <v>Not 2 - Provisionskostnader (kSEK)</v>
          </cell>
        </row>
        <row r="712">
          <cell r="A712" t="str">
            <v>TranskostYTD</v>
          </cell>
          <cell r="C712" t="str">
            <v>Transaktionskostnader</v>
          </cell>
          <cell r="U712">
            <v>-21917</v>
          </cell>
          <cell r="V712">
            <v>-42364.699000000001</v>
          </cell>
          <cell r="W712">
            <v>-63699.842990000005</v>
          </cell>
          <cell r="X712">
            <v>-85099.663700000005</v>
          </cell>
          <cell r="Y712">
            <v>-21526.510200000004</v>
          </cell>
          <cell r="Z712">
            <v>-42907.739570000005</v>
          </cell>
          <cell r="AA712">
            <v>-67308.885640000008</v>
          </cell>
          <cell r="AB712">
            <v>-90325.13526000001</v>
          </cell>
          <cell r="AC712">
            <v>-37972.476911072001</v>
          </cell>
          <cell r="AD712">
            <v>-77178.90318768</v>
          </cell>
          <cell r="AE712">
            <v>-121832.107474288</v>
          </cell>
          <cell r="AF712">
            <v>-169585.60555000001</v>
          </cell>
          <cell r="AG712">
            <v>-76642.57840443599</v>
          </cell>
          <cell r="AH712">
            <v>-129482.54341774396</v>
          </cell>
          <cell r="AI712">
            <v>-181615.75077105197</v>
          </cell>
        </row>
        <row r="713">
          <cell r="A713" t="str">
            <v>BetalförmprovYTD</v>
          </cell>
          <cell r="C713" t="str">
            <v>Betalningsförmedlingsprovisioner</v>
          </cell>
          <cell r="U713">
            <v>-13926</v>
          </cell>
          <cell r="V713">
            <v>-26343.828860000001</v>
          </cell>
          <cell r="W713">
            <v>-37494.631450000001</v>
          </cell>
          <cell r="X713">
            <v>-48820.626499999998</v>
          </cell>
          <cell r="Y713">
            <v>-11466</v>
          </cell>
          <cell r="Z713">
            <v>-25609.772790000003</v>
          </cell>
          <cell r="AA713">
            <v>-39537.05919</v>
          </cell>
          <cell r="AB713">
            <v>-53582.083120000003</v>
          </cell>
          <cell r="AC713">
            <v>-18684.457329999997</v>
          </cell>
          <cell r="AD713">
            <v>-40188.038579999993</v>
          </cell>
          <cell r="AE713">
            <v>-61041.348169999983</v>
          </cell>
          <cell r="AF713">
            <v>-85704.242169999983</v>
          </cell>
          <cell r="AG713">
            <v>-32089.364070000007</v>
          </cell>
          <cell r="AH713">
            <v>-61609.926309999981</v>
          </cell>
          <cell r="AI713">
            <v>-88370.764889999962</v>
          </cell>
        </row>
        <row r="715">
          <cell r="C715" t="str">
            <v>Not 2 - Provisionskostnader (kSEK)</v>
          </cell>
        </row>
        <row r="716">
          <cell r="A716" t="str">
            <v>Transkost4Q</v>
          </cell>
          <cell r="C716" t="str">
            <v>Transaktionskostnader</v>
          </cell>
          <cell r="U716">
            <v>-21917</v>
          </cell>
          <cell r="V716">
            <v>-42364.699000000001</v>
          </cell>
          <cell r="W716">
            <v>-63699.842990000005</v>
          </cell>
          <cell r="X716">
            <v>-85099.663700000005</v>
          </cell>
          <cell r="Y716">
            <v>-84709.173900000009</v>
          </cell>
          <cell r="Z716">
            <v>-85642.704270000002</v>
          </cell>
          <cell r="AA716">
            <v>-88708.706350000008</v>
          </cell>
          <cell r="AB716">
            <v>-90325.13526000001</v>
          </cell>
          <cell r="AC716">
            <v>-106771.101971072</v>
          </cell>
          <cell r="AD716">
            <v>-124596.29887768002</v>
          </cell>
          <cell r="AE716">
            <v>-144848.35709428802</v>
          </cell>
          <cell r="AF716">
            <v>-169585.60555000001</v>
          </cell>
          <cell r="AG716">
            <v>-208255.707043364</v>
          </cell>
          <cell r="AH716">
            <v>-221889.24578006394</v>
          </cell>
          <cell r="AI716">
            <v>-229369.24884676392</v>
          </cell>
        </row>
        <row r="717">
          <cell r="A717" t="str">
            <v>Betalförmprov4Q</v>
          </cell>
          <cell r="C717" t="str">
            <v>Betalningsförmedlingsprovisioner</v>
          </cell>
          <cell r="U717">
            <v>-13926</v>
          </cell>
          <cell r="V717">
            <v>-26343.828860000001</v>
          </cell>
          <cell r="W717">
            <v>-37494.631450000001</v>
          </cell>
          <cell r="X717">
            <v>-48820.626499999998</v>
          </cell>
          <cell r="Y717">
            <v>-46360.626499999998</v>
          </cell>
          <cell r="Z717">
            <v>-48086.570430000007</v>
          </cell>
          <cell r="AA717">
            <v>-50863.054239999998</v>
          </cell>
          <cell r="AB717">
            <v>-53582.083120000003</v>
          </cell>
          <cell r="AC717">
            <v>-60800.54045</v>
          </cell>
          <cell r="AD717">
            <v>-68160.348910000001</v>
          </cell>
          <cell r="AE717">
            <v>-75086.372099999993</v>
          </cell>
          <cell r="AF717">
            <v>-85704.242169999983</v>
          </cell>
          <cell r="AG717">
            <v>-99109.148910000004</v>
          </cell>
          <cell r="AH717">
            <v>-107126.12989999997</v>
          </cell>
          <cell r="AI717">
            <v>-113033.65888999996</v>
          </cell>
        </row>
        <row r="718">
          <cell r="C718" t="str">
            <v>Not 3 - Räntenetto (kSEK)</v>
          </cell>
        </row>
        <row r="719">
          <cell r="A719" t="str">
            <v>RänteinkredQ</v>
          </cell>
          <cell r="C719" t="str">
            <v>Ränteintäkter från utlåning till kreditinstitut</v>
          </cell>
          <cell r="AG719">
            <v>9.3987699999999634</v>
          </cell>
          <cell r="AH719">
            <v>-0.94690000000000096</v>
          </cell>
          <cell r="AI719">
            <v>1.3481300000000001</v>
          </cell>
        </row>
        <row r="720">
          <cell r="A720" t="str">
            <v>RänteinAllQ</v>
          </cell>
          <cell r="C720" t="str">
            <v>Ränteintäkter från utlåning till allmänheten</v>
          </cell>
          <cell r="AG720">
            <v>90593.920900000026</v>
          </cell>
          <cell r="AH720">
            <v>95317.846839999998</v>
          </cell>
          <cell r="AI720">
            <v>99699.808139999979</v>
          </cell>
        </row>
        <row r="721">
          <cell r="A721" t="str">
            <v>RänteinVPQ</v>
          </cell>
          <cell r="C721" t="str">
            <v>Ränteintäkter för räntebärande värdepapper</v>
          </cell>
          <cell r="AG721">
            <v>7682.8240200000037</v>
          </cell>
          <cell r="AH721">
            <v>9959.5800899999977</v>
          </cell>
          <cell r="AI721">
            <v>9885.5000199999995</v>
          </cell>
        </row>
        <row r="722">
          <cell r="A722" t="str">
            <v>RänteinÖvrQ</v>
          </cell>
          <cell r="C722" t="str">
            <v>Övriga ränteintäkter</v>
          </cell>
          <cell r="AG722">
            <v>0</v>
          </cell>
          <cell r="AH722">
            <v>0</v>
          </cell>
          <cell r="AI722">
            <v>0</v>
          </cell>
        </row>
        <row r="723">
          <cell r="A723" t="str">
            <v>RänteavKredQ</v>
          </cell>
          <cell r="C723" t="str">
            <v>Ränteavgifter för utlåning till kreditinstitut</v>
          </cell>
          <cell r="AG723">
            <v>-1827.5806999999993</v>
          </cell>
          <cell r="AH723">
            <v>-2141.2025200000003</v>
          </cell>
          <cell r="AI723">
            <v>-2339.0916900000002</v>
          </cell>
        </row>
        <row r="724">
          <cell r="A724" t="str">
            <v>RäntekosAllQ</v>
          </cell>
          <cell r="C724" t="str">
            <v>Räntekostnader för inlåning från allmänheten</v>
          </cell>
          <cell r="AG724">
            <v>-9741.9418400000013</v>
          </cell>
          <cell r="AH724">
            <v>-12783.54083</v>
          </cell>
          <cell r="AI724">
            <v>-14037.585230000001</v>
          </cell>
        </row>
        <row r="725">
          <cell r="A725" t="str">
            <v>InsResavQ</v>
          </cell>
          <cell r="C725" t="str">
            <v>Kostnader för Insättningsgarantin och resolutionsavgift</v>
          </cell>
          <cell r="AG725">
            <v>-9535.3820699999997</v>
          </cell>
          <cell r="AH725">
            <v>-9639.9192999999996</v>
          </cell>
          <cell r="AI725">
            <v>-9692.1874299999999</v>
          </cell>
        </row>
        <row r="726">
          <cell r="A726" t="str">
            <v>RäntekosÖvrQ</v>
          </cell>
          <cell r="C726" t="str">
            <v>Övriga räntekostnader</v>
          </cell>
          <cell r="AG726">
            <v>-790.51800000000003</v>
          </cell>
          <cell r="AH726">
            <v>-717.649</v>
          </cell>
          <cell r="AI726">
            <v>-672.71735000000012</v>
          </cell>
        </row>
        <row r="727">
          <cell r="C727" t="str">
            <v>Totalt Räntenetto</v>
          </cell>
          <cell r="AG727">
            <v>76390.721080000032</v>
          </cell>
          <cell r="AH727">
            <v>79994.168380000003</v>
          </cell>
          <cell r="AI727">
            <v>82845.074589999975</v>
          </cell>
        </row>
        <row r="728">
          <cell r="AG728">
            <v>0</v>
          </cell>
          <cell r="AH728">
            <v>0</v>
          </cell>
          <cell r="AI728">
            <v>0</v>
          </cell>
        </row>
        <row r="729">
          <cell r="C729" t="str">
            <v>Not 3 - Räntenetto (kSEK)</v>
          </cell>
        </row>
        <row r="730">
          <cell r="A730" t="str">
            <v>RänteinkredYTD</v>
          </cell>
          <cell r="C730" t="str">
            <v>Ränteintäkter från utlåning till kreditinstitut</v>
          </cell>
          <cell r="AG730">
            <v>9.3987699999999634</v>
          </cell>
          <cell r="AH730">
            <v>8.4518699999999622</v>
          </cell>
          <cell r="AI730">
            <v>9.7999999999999616</v>
          </cell>
        </row>
        <row r="731">
          <cell r="A731" t="str">
            <v>RänteinAllYTD</v>
          </cell>
          <cell r="C731" t="str">
            <v>Ränteintäkter från utlåning till allmänheten</v>
          </cell>
          <cell r="AG731">
            <v>90593.920900000026</v>
          </cell>
          <cell r="AH731">
            <v>185911.76774000004</v>
          </cell>
          <cell r="AI731">
            <v>285611.57588000002</v>
          </cell>
        </row>
        <row r="732">
          <cell r="A732" t="str">
            <v>RänteinVPYTD</v>
          </cell>
          <cell r="C732" t="str">
            <v>Ränteintäkter för räntebärande värdepapper</v>
          </cell>
          <cell r="AG732">
            <v>7682.8240200000037</v>
          </cell>
          <cell r="AH732">
            <v>17642.404110000003</v>
          </cell>
          <cell r="AI732">
            <v>27527.904130000003</v>
          </cell>
        </row>
        <row r="733">
          <cell r="A733" t="str">
            <v>RänteinÖvrYTD</v>
          </cell>
          <cell r="C733" t="str">
            <v>Övriga ränteintäkter</v>
          </cell>
          <cell r="AG733">
            <v>0</v>
          </cell>
          <cell r="AH733">
            <v>0</v>
          </cell>
          <cell r="AI733">
            <v>0</v>
          </cell>
        </row>
        <row r="734">
          <cell r="A734" t="str">
            <v>RänteavKredYTD</v>
          </cell>
          <cell r="C734" t="str">
            <v>Ränteavgifter för utlåning till kreditinstitut</v>
          </cell>
          <cell r="AG734">
            <v>-1827.5806999999993</v>
          </cell>
          <cell r="AH734">
            <v>-3968.7832199999993</v>
          </cell>
          <cell r="AI734">
            <v>-6307.8749099999995</v>
          </cell>
        </row>
        <row r="735">
          <cell r="A735" t="str">
            <v>RäntekosAllYTD</v>
          </cell>
          <cell r="C735" t="str">
            <v>Räntekostnader för inlåning från allmänheten</v>
          </cell>
          <cell r="AG735">
            <v>-9741.9418400000013</v>
          </cell>
          <cell r="AH735">
            <v>-22525.482670000001</v>
          </cell>
          <cell r="AI735">
            <v>-36563.067900000002</v>
          </cell>
        </row>
        <row r="736">
          <cell r="A736" t="str">
            <v>InsResavYTD</v>
          </cell>
          <cell r="C736" t="str">
            <v>Kostnader för Insättningsgarantin och resolutionsavgift</v>
          </cell>
          <cell r="AG736">
            <v>-9535.3820699999997</v>
          </cell>
          <cell r="AH736">
            <v>-19175.301370000001</v>
          </cell>
          <cell r="AI736">
            <v>-28867.488799999999</v>
          </cell>
        </row>
        <row r="737">
          <cell r="A737" t="str">
            <v>RäntekosÖvrYTD</v>
          </cell>
          <cell r="C737" t="str">
            <v>Övriga räntekostnader</v>
          </cell>
          <cell r="AG737">
            <v>-790.51800000000003</v>
          </cell>
          <cell r="AH737">
            <v>-1508.1669999999999</v>
          </cell>
          <cell r="AI737">
            <v>-2180.8843500000003</v>
          </cell>
        </row>
        <row r="738">
          <cell r="C738" t="str">
            <v>Totalt Räntenetto</v>
          </cell>
        </row>
        <row r="740">
          <cell r="C740" t="str">
            <v>Not 4 - Utlåning till kreditinstitut (kSEK)</v>
          </cell>
        </row>
        <row r="741">
          <cell r="A741" t="str">
            <v>KlientmedelsfordrNot1</v>
          </cell>
          <cell r="C741" t="str">
            <v>Klientmedelsfordringar</v>
          </cell>
          <cell r="T741">
            <v>1199396.5126400001</v>
          </cell>
          <cell r="U741">
            <v>1128000</v>
          </cell>
          <cell r="V741">
            <v>1206263.5030100001</v>
          </cell>
          <cell r="W741">
            <v>1327528.8911600001</v>
          </cell>
          <cell r="X741">
            <v>1575238.9713000001</v>
          </cell>
          <cell r="Y741">
            <v>1568625.2608099999</v>
          </cell>
          <cell r="Z741">
            <v>1542052.03406</v>
          </cell>
          <cell r="AA741">
            <v>1369048.94878</v>
          </cell>
          <cell r="AB741">
            <v>1420534.58574</v>
          </cell>
          <cell r="AC741">
            <v>1879789.8118400001</v>
          </cell>
          <cell r="AD741">
            <v>2096822.8340100001</v>
          </cell>
          <cell r="AE741">
            <v>1521481.81745</v>
          </cell>
          <cell r="AF741">
            <v>1630024.9868399999</v>
          </cell>
          <cell r="AG741">
            <v>1578622.4395900001</v>
          </cell>
          <cell r="AH741">
            <v>1468470.07112</v>
          </cell>
          <cell r="AI741">
            <v>1480435.29159</v>
          </cell>
        </row>
        <row r="742">
          <cell r="A742" t="str">
            <v>KlientmedelsskuldNot1</v>
          </cell>
          <cell r="C742" t="str">
            <v>Klientmedelsskulder</v>
          </cell>
          <cell r="T742">
            <v>1199396.5126400001</v>
          </cell>
          <cell r="U742">
            <v>1128000</v>
          </cell>
          <cell r="V742">
            <v>1206263.5030100001</v>
          </cell>
          <cell r="W742">
            <v>1327528.8911600001</v>
          </cell>
          <cell r="X742">
            <v>1575238.9713000001</v>
          </cell>
          <cell r="Y742">
            <v>1568625.2608099999</v>
          </cell>
          <cell r="Z742">
            <v>1542052.03406</v>
          </cell>
          <cell r="AA742">
            <v>1369048.94878</v>
          </cell>
          <cell r="AB742">
            <v>1420534.58574</v>
          </cell>
          <cell r="AC742">
            <v>1879789.8118400001</v>
          </cell>
          <cell r="AD742">
            <v>2096822.8340100001</v>
          </cell>
          <cell r="AE742">
            <v>1521481.81745</v>
          </cell>
          <cell r="AF742">
            <v>1630024.9868399999</v>
          </cell>
          <cell r="AG742">
            <v>1578622.4395900001</v>
          </cell>
          <cell r="AH742">
            <v>1468470.07112</v>
          </cell>
          <cell r="AI742">
            <v>1480435.29159</v>
          </cell>
        </row>
        <row r="743">
          <cell r="A743" t="str">
            <v>LikvNot1</v>
          </cell>
          <cell r="C743" t="str">
            <v>Likvida medel</v>
          </cell>
          <cell r="E743">
            <v>9085452.2630000003</v>
          </cell>
          <cell r="F743">
            <v>8991992.254999999</v>
          </cell>
          <cell r="G743">
            <v>8388763.1409999989</v>
          </cell>
          <cell r="H743">
            <v>4534844.8020000001</v>
          </cell>
          <cell r="I743">
            <v>4841671.9879999999</v>
          </cell>
          <cell r="J743">
            <v>7577740.3346799994</v>
          </cell>
          <cell r="K743">
            <v>5629228.58452</v>
          </cell>
          <cell r="L743">
            <v>1701391.496</v>
          </cell>
          <cell r="M743">
            <v>2781522.0480000004</v>
          </cell>
          <cell r="N743">
            <v>4245053.6239999998</v>
          </cell>
          <cell r="O743">
            <v>1946466.9680000003</v>
          </cell>
          <cell r="P743">
            <v>1582561.656</v>
          </cell>
          <cell r="Q743">
            <v>2082820.1369999996</v>
          </cell>
          <cell r="R743">
            <v>1758674.0582900001</v>
          </cell>
          <cell r="S743">
            <v>1578653.4671899998</v>
          </cell>
          <cell r="T743">
            <v>1730891.7770499995</v>
          </cell>
          <cell r="U743">
            <v>2125431.1295500016</v>
          </cell>
          <cell r="V743">
            <v>1851899.3597299997</v>
          </cell>
          <cell r="W743">
            <v>2021458.2957399997</v>
          </cell>
          <cell r="X743">
            <v>3820751.9495599992</v>
          </cell>
          <cell r="Y743">
            <v>2591638.2295099995</v>
          </cell>
          <cell r="Z743">
            <v>2239790.9542399985</v>
          </cell>
          <cell r="AA743">
            <v>2473623.294410001</v>
          </cell>
          <cell r="AB743">
            <v>3105994.1794500002</v>
          </cell>
          <cell r="AC743">
            <v>2355500.8243699996</v>
          </cell>
          <cell r="AD743">
            <v>2717834.311900002</v>
          </cell>
          <cell r="AE743">
            <v>1567220.5700899996</v>
          </cell>
          <cell r="AF743">
            <v>3699964.6339200009</v>
          </cell>
          <cell r="AG743">
            <v>5025718.5396100003</v>
          </cell>
          <cell r="AH743">
            <v>3103027.3516300018</v>
          </cell>
          <cell r="AI743">
            <v>5238118.3664399981</v>
          </cell>
        </row>
        <row r="744">
          <cell r="A744" t="str">
            <v>SäkerhetNot1</v>
          </cell>
          <cell r="C744" t="str">
            <v>varav ställda som säkerhet</v>
          </cell>
          <cell r="E744">
            <v>0</v>
          </cell>
          <cell r="F744">
            <v>0</v>
          </cell>
          <cell r="G744">
            <v>0</v>
          </cell>
          <cell r="H744">
            <v>752000</v>
          </cell>
          <cell r="I744">
            <v>796000</v>
          </cell>
          <cell r="J744">
            <v>758000</v>
          </cell>
          <cell r="K744">
            <v>789000</v>
          </cell>
          <cell r="L744">
            <v>102388</v>
          </cell>
          <cell r="M744">
            <v>75250</v>
          </cell>
          <cell r="N744">
            <v>273307.83100000001</v>
          </cell>
          <cell r="O744">
            <v>140622.49299999999</v>
          </cell>
          <cell r="P744">
            <v>129757.139</v>
          </cell>
          <cell r="Q744">
            <v>142878.08900000001</v>
          </cell>
          <cell r="R744">
            <v>47624.852169999998</v>
          </cell>
          <cell r="S744">
            <v>42460.399799999999</v>
          </cell>
          <cell r="T744">
            <v>49696.855069999998</v>
          </cell>
          <cell r="U744">
            <v>22818.3</v>
          </cell>
          <cell r="V744">
            <v>23027.564999999999</v>
          </cell>
          <cell r="W744">
            <v>23809.382000000001</v>
          </cell>
          <cell r="X744">
            <v>23867.835999999999</v>
          </cell>
          <cell r="Y744">
            <v>239409.106</v>
          </cell>
          <cell r="Z744">
            <v>25430.878239999998</v>
          </cell>
          <cell r="AA744">
            <v>27614.714</v>
          </cell>
          <cell r="AB744">
            <v>29104.523000000001</v>
          </cell>
          <cell r="AC744">
            <v>79887.930489999999</v>
          </cell>
          <cell r="AD744">
            <v>47803.372620000002</v>
          </cell>
          <cell r="AE744">
            <v>25381.109329999999</v>
          </cell>
          <cell r="AF744">
            <v>25375.781780000001</v>
          </cell>
          <cell r="AG744">
            <v>25291.495999999999</v>
          </cell>
          <cell r="AH744">
            <v>227832.74961999999</v>
          </cell>
          <cell r="AI744">
            <v>428794.43303000001</v>
          </cell>
        </row>
        <row r="746">
          <cell r="C746" t="str">
            <v>Not 5 - Utlåning till allmänheten (kSEK)</v>
          </cell>
          <cell r="T746">
            <v>2980.0309999999999</v>
          </cell>
        </row>
        <row r="747">
          <cell r="C747" t="str">
            <v>Befarade kreditförluster VP-kredit</v>
          </cell>
          <cell r="X747">
            <v>8547.9580000000005</v>
          </cell>
          <cell r="Y747">
            <v>8661.4680000000008</v>
          </cell>
          <cell r="Z747">
            <v>7392.26</v>
          </cell>
          <cell r="AA747">
            <v>7712.4429120000104</v>
          </cell>
          <cell r="AB747">
            <v>7477.0376999999999</v>
          </cell>
          <cell r="AC747">
            <v>6621.47</v>
          </cell>
          <cell r="AD747">
            <v>7003.6845289818002</v>
          </cell>
          <cell r="AE747">
            <v>7059.8239999999996</v>
          </cell>
          <cell r="AF747">
            <v>7223.4100924999802</v>
          </cell>
          <cell r="AG747">
            <v>8188.6006647999802</v>
          </cell>
          <cell r="AH747">
            <v>4100.6258144376397</v>
          </cell>
          <cell r="AI747">
            <v>4613.6769700000004</v>
          </cell>
        </row>
        <row r="748">
          <cell r="C748" t="str">
            <v>Befarade kreditförluster Bolån</v>
          </cell>
          <cell r="X748">
            <v>3132.9850000000001</v>
          </cell>
          <cell r="Y748">
            <v>4201.5240000000003</v>
          </cell>
          <cell r="Z748">
            <v>2718.3539999999998</v>
          </cell>
          <cell r="AA748">
            <v>2844.6080000000002</v>
          </cell>
          <cell r="AB748">
            <v>2766.24505</v>
          </cell>
          <cell r="AC748">
            <v>3075.7269999999999</v>
          </cell>
          <cell r="AD748">
            <v>7633.8329999999996</v>
          </cell>
          <cell r="AE748">
            <v>7988.9449999999997</v>
          </cell>
          <cell r="AF748">
            <v>6841.1251212999796</v>
          </cell>
          <cell r="AG748">
            <v>4441.2737868999802</v>
          </cell>
          <cell r="AH748">
            <v>4527.4286889754403</v>
          </cell>
          <cell r="AI748">
            <v>4534.0652399999999</v>
          </cell>
        </row>
        <row r="749">
          <cell r="A749" t="str">
            <v>BefKreditförlNot2</v>
          </cell>
          <cell r="C749" t="str">
            <v>Totala befarade kreditförluster</v>
          </cell>
          <cell r="T749">
            <v>7960.7349999999997</v>
          </cell>
          <cell r="U749">
            <v>10417.844999999999</v>
          </cell>
          <cell r="V749">
            <v>11144.174999999999</v>
          </cell>
          <cell r="W749">
            <v>11584.614</v>
          </cell>
          <cell r="X749">
            <v>11680.943000000001</v>
          </cell>
          <cell r="Y749">
            <v>12862.992000000002</v>
          </cell>
          <cell r="Z749">
            <v>10110.614</v>
          </cell>
          <cell r="AA749">
            <v>10557.05091200001</v>
          </cell>
          <cell r="AB749">
            <v>10243.28275</v>
          </cell>
          <cell r="AC749">
            <v>9697.1970000000001</v>
          </cell>
          <cell r="AD749">
            <v>14637.5175289818</v>
          </cell>
          <cell r="AE749">
            <v>15048.769</v>
          </cell>
          <cell r="AF749">
            <v>14064.53521379996</v>
          </cell>
          <cell r="AG749">
            <v>12629.874451699961</v>
          </cell>
          <cell r="AH749">
            <v>8628.054503413081</v>
          </cell>
          <cell r="AI749">
            <v>9147.7422100000003</v>
          </cell>
        </row>
        <row r="750">
          <cell r="A750" t="str">
            <v>FörändrBefKredFörlNot2</v>
          </cell>
          <cell r="C750" t="str">
            <v>Förändring av befarade kreditförluster (YTD)</v>
          </cell>
          <cell r="I750">
            <v>0</v>
          </cell>
          <cell r="J750">
            <v>0</v>
          </cell>
          <cell r="K750">
            <v>0</v>
          </cell>
          <cell r="L750">
            <v>0</v>
          </cell>
          <cell r="M750">
            <v>0</v>
          </cell>
          <cell r="N750">
            <v>0</v>
          </cell>
          <cell r="O750">
            <v>0</v>
          </cell>
          <cell r="P750">
            <v>0</v>
          </cell>
          <cell r="Q750">
            <v>0</v>
          </cell>
          <cell r="R750">
            <v>0</v>
          </cell>
          <cell r="S750">
            <v>0</v>
          </cell>
          <cell r="T750">
            <v>-7960.7349999999997</v>
          </cell>
          <cell r="U750">
            <v>522.92100000000028</v>
          </cell>
          <cell r="V750">
            <v>-203.40899999999965</v>
          </cell>
          <cell r="W750">
            <v>-643.84799999999996</v>
          </cell>
          <cell r="X750">
            <v>-740.1770000000015</v>
          </cell>
          <cell r="Y750">
            <v>-1182.0490000000009</v>
          </cell>
          <cell r="Z750">
            <v>1570.3290000000015</v>
          </cell>
          <cell r="AA750">
            <v>1123.8920879999914</v>
          </cell>
          <cell r="AB750">
            <v>1437.6602500000008</v>
          </cell>
          <cell r="AC750">
            <v>546.08575000000019</v>
          </cell>
          <cell r="AD750">
            <v>-4394.2347789817995</v>
          </cell>
          <cell r="AE750">
            <v>-4805.4862499999999</v>
          </cell>
          <cell r="AF750">
            <v>-3821.2524637999595</v>
          </cell>
          <cell r="AG750">
            <v>1434.6607620999985</v>
          </cell>
          <cell r="AH750">
            <v>5436.4807103868789</v>
          </cell>
          <cell r="AI750">
            <v>4916.7930037999595</v>
          </cell>
        </row>
        <row r="752">
          <cell r="A752" t="str">
            <v>UKKFNot2</v>
          </cell>
          <cell r="C752" t="str">
            <v>Underkontosaldo KF</v>
          </cell>
          <cell r="Q752">
            <v>575114.15063000401</v>
          </cell>
          <cell r="R752">
            <v>797099.0498999994</v>
          </cell>
          <cell r="S752">
            <v>996843.42986999743</v>
          </cell>
          <cell r="T752">
            <v>0</v>
          </cell>
          <cell r="U752">
            <v>569187.16978999902</v>
          </cell>
          <cell r="V752">
            <v>784964.50100000005</v>
          </cell>
          <cell r="W752">
            <v>859572.72600000002</v>
          </cell>
          <cell r="X752">
            <v>0</v>
          </cell>
          <cell r="Y752">
            <v>484049.59503999999</v>
          </cell>
          <cell r="Z752">
            <v>704903.69062000106</v>
          </cell>
          <cell r="AA752">
            <v>853379.07988999796</v>
          </cell>
          <cell r="AB752">
            <v>0</v>
          </cell>
          <cell r="AC752">
            <v>1146599.7509999999</v>
          </cell>
          <cell r="AD752">
            <v>1095537.0189499999</v>
          </cell>
          <cell r="AE752">
            <v>1123532.18493</v>
          </cell>
          <cell r="AF752">
            <v>0</v>
          </cell>
          <cell r="AG752">
            <v>912179.56613000005</v>
          </cell>
          <cell r="AH752">
            <v>1224234.7727000001</v>
          </cell>
          <cell r="AI752">
            <v>1436249.527</v>
          </cell>
        </row>
        <row r="753">
          <cell r="A753" t="str">
            <v>StabeloNot2</v>
          </cell>
          <cell r="C753" t="str">
            <v>Stabelokredit</v>
          </cell>
          <cell r="Q753">
            <v>0</v>
          </cell>
          <cell r="R753">
            <v>0</v>
          </cell>
          <cell r="S753">
            <v>0</v>
          </cell>
          <cell r="T753">
            <v>43175.860999999997</v>
          </cell>
          <cell r="U753">
            <v>70636.591</v>
          </cell>
          <cell r="V753">
            <v>0</v>
          </cell>
          <cell r="W753">
            <v>0</v>
          </cell>
          <cell r="X753">
            <v>0</v>
          </cell>
          <cell r="Y753">
            <v>0</v>
          </cell>
          <cell r="Z753">
            <v>0</v>
          </cell>
          <cell r="AA753">
            <v>0</v>
          </cell>
          <cell r="AB753">
            <v>0</v>
          </cell>
          <cell r="AC753">
            <v>0</v>
          </cell>
          <cell r="AD753">
            <v>0</v>
          </cell>
          <cell r="AE753">
            <v>0</v>
          </cell>
          <cell r="AF753">
            <v>0</v>
          </cell>
          <cell r="AG753">
            <v>0</v>
          </cell>
          <cell r="AH753">
            <v>0</v>
          </cell>
          <cell r="AI753">
            <v>0</v>
          </cell>
        </row>
        <row r="754">
          <cell r="A754" t="str">
            <v>RestUtlNot2</v>
          </cell>
          <cell r="C754" t="str">
            <v>Resterande del av utlåning till allmänheten (netto efter bef kundförluster)</v>
          </cell>
          <cell r="Q754">
            <v>8749022.4663699958</v>
          </cell>
          <cell r="R754">
            <v>8760273.7081000004</v>
          </cell>
          <cell r="S754">
            <v>8920012.3631300014</v>
          </cell>
          <cell r="T754">
            <v>9463407.574409999</v>
          </cell>
          <cell r="U754">
            <v>9775918.3184000012</v>
          </cell>
          <cell r="V754">
            <v>9874964.9580100011</v>
          </cell>
          <cell r="W754">
            <v>10127748.958430002</v>
          </cell>
          <cell r="X754">
            <v>10338638.569120001</v>
          </cell>
          <cell r="Y754">
            <v>11084039.582080003</v>
          </cell>
          <cell r="Z754">
            <v>11334687.078289997</v>
          </cell>
          <cell r="AA754">
            <v>11981484.80803</v>
          </cell>
          <cell r="AB754">
            <v>13105745.265110003</v>
          </cell>
          <cell r="AC754">
            <v>12662420.652740002</v>
          </cell>
          <cell r="AD754">
            <v>13994794.944910001</v>
          </cell>
          <cell r="AE754">
            <v>15102940.296389997</v>
          </cell>
          <cell r="AF754">
            <v>16287090.21219</v>
          </cell>
          <cell r="AG754">
            <v>17414545.276229996</v>
          </cell>
          <cell r="AH754">
            <v>18480749.752890002</v>
          </cell>
          <cell r="AI754">
            <v>19317627.564049996</v>
          </cell>
        </row>
        <row r="755">
          <cell r="A755" t="str">
            <v>UtlVPNot2</v>
          </cell>
          <cell r="C755" t="str">
            <v>Utlåning med värdepapper som säkerhet  (netto efter bef kundförluster)</v>
          </cell>
          <cell r="Q755">
            <v>4288129.4513699962</v>
          </cell>
          <cell r="R755">
            <v>4104067.1441000002</v>
          </cell>
          <cell r="S755">
            <v>3925589.6341300011</v>
          </cell>
          <cell r="T755">
            <v>4178966.0874099992</v>
          </cell>
          <cell r="U755">
            <v>4290818.5424000015</v>
          </cell>
          <cell r="V755">
            <v>4221851.6940100007</v>
          </cell>
          <cell r="W755">
            <v>4368276.6704300018</v>
          </cell>
          <cell r="X755">
            <v>4360516.6341200015</v>
          </cell>
          <cell r="Y755">
            <v>4803424.5990800029</v>
          </cell>
          <cell r="Z755">
            <v>4596287.3198999967</v>
          </cell>
          <cell r="AA755">
            <v>4768800.1449800003</v>
          </cell>
          <cell r="AB755">
            <v>5156359.4716500025</v>
          </cell>
          <cell r="AC755">
            <v>4278446.8598500015</v>
          </cell>
          <cell r="AD755">
            <v>5362853.798080001</v>
          </cell>
          <cell r="AE755">
            <v>6277850.2740599979</v>
          </cell>
          <cell r="AF755">
            <v>6969738.690061301</v>
          </cell>
          <cell r="AG755">
            <v>7817782.7581368964</v>
          </cell>
          <cell r="AH755">
            <v>8722768.9573189821</v>
          </cell>
          <cell r="AI755">
            <v>9378895.6682099961</v>
          </cell>
        </row>
        <row r="756">
          <cell r="A756" t="str">
            <v>UtlBolånNot2</v>
          </cell>
          <cell r="C756" t="str">
            <v>Utlåning med bolån som säkerhet (netto efter bef kundförluster)</v>
          </cell>
          <cell r="Q756">
            <v>4460893.0149999997</v>
          </cell>
          <cell r="R756">
            <v>4656206.5640000002</v>
          </cell>
          <cell r="S756">
            <v>4994422.7290000003</v>
          </cell>
          <cell r="T756">
            <v>5284441.4869999997</v>
          </cell>
          <cell r="U756">
            <v>5485099.7759999996</v>
          </cell>
          <cell r="V756">
            <v>5653113.2640000004</v>
          </cell>
          <cell r="W756">
            <v>5759472.2879999997</v>
          </cell>
          <cell r="X756">
            <v>5978121.9349999996</v>
          </cell>
          <cell r="Y756">
            <v>6280614.983</v>
          </cell>
          <cell r="Z756">
            <v>6738399.7583900001</v>
          </cell>
          <cell r="AA756">
            <v>7212684.6630499996</v>
          </cell>
          <cell r="AB756">
            <v>7949385.7934600003</v>
          </cell>
          <cell r="AC756">
            <v>8383973.7928900002</v>
          </cell>
          <cell r="AD756">
            <v>8631941.14683</v>
          </cell>
          <cell r="AE756">
            <v>8825090.0223299991</v>
          </cell>
          <cell r="AF756">
            <v>9317351.5221286993</v>
          </cell>
          <cell r="AG756">
            <v>9596762.5180930998</v>
          </cell>
          <cell r="AH756">
            <v>9757980.7955710199</v>
          </cell>
          <cell r="AI756">
            <v>9938731.8958400004</v>
          </cell>
        </row>
        <row r="758">
          <cell r="A758" t="str">
            <v>BevBolånNot2</v>
          </cell>
          <cell r="C758" t="str">
            <v>Beviljade bolån</v>
          </cell>
          <cell r="T758">
            <v>6466070.1909999996</v>
          </cell>
          <cell r="U758">
            <v>6676649.6519999998</v>
          </cell>
          <cell r="V758">
            <v>6624166.4359999998</v>
          </cell>
          <cell r="W758">
            <v>6713883.267</v>
          </cell>
          <cell r="X758">
            <v>6979270.2110000001</v>
          </cell>
          <cell r="Y758">
            <v>7319307.9699999997</v>
          </cell>
          <cell r="Z758">
            <v>7774184.7419999996</v>
          </cell>
          <cell r="AA758">
            <v>8474862.0150000006</v>
          </cell>
          <cell r="AB758">
            <v>8935879.3450000007</v>
          </cell>
          <cell r="AC758">
            <v>9362631.2249999996</v>
          </cell>
          <cell r="AD758">
            <v>9433002.8809999991</v>
          </cell>
          <cell r="AE758">
            <v>9868720.8819999993</v>
          </cell>
          <cell r="AF758">
            <v>10128648.472999999</v>
          </cell>
          <cell r="AG758">
            <v>10634108.117000001</v>
          </cell>
          <cell r="AH758">
            <v>10832387.903999999</v>
          </cell>
          <cell r="AI758">
            <v>11017342.038000001</v>
          </cell>
        </row>
        <row r="759">
          <cell r="A759" t="str">
            <v>BevEjUtbNot2</v>
          </cell>
          <cell r="C759" t="str">
            <v>Beviljade ej utbetalda bolån</v>
          </cell>
          <cell r="T759">
            <v>1181628.7039999999</v>
          </cell>
          <cell r="U759">
            <v>1191549.8760000002</v>
          </cell>
          <cell r="V759">
            <v>971053.17199999932</v>
          </cell>
          <cell r="W759">
            <v>954410.97900000028</v>
          </cell>
          <cell r="X759">
            <v>998015.2910000002</v>
          </cell>
          <cell r="Y759">
            <v>1034491.4629999995</v>
          </cell>
          <cell r="Z759">
            <v>1033066.6296099992</v>
          </cell>
          <cell r="AA759">
            <v>1259332.743950001</v>
          </cell>
          <cell r="AB759">
            <v>983727.30649000034</v>
          </cell>
          <cell r="AC759">
            <v>975581.70510999952</v>
          </cell>
          <cell r="AD759">
            <v>793427.90116999857</v>
          </cell>
          <cell r="AE759">
            <v>1035641.9146699999</v>
          </cell>
          <cell r="AF759">
            <v>804455.82575000077</v>
          </cell>
          <cell r="AG759">
            <v>1032904.3251200002</v>
          </cell>
          <cell r="AH759">
            <v>1069879.6797400042</v>
          </cell>
          <cell r="AI759">
            <v>1074076.0769200008</v>
          </cell>
        </row>
        <row r="761">
          <cell r="C761" t="str">
            <v>Kapitalkrav - Finansiella konglomeratet (kSEK)</v>
          </cell>
        </row>
        <row r="762">
          <cell r="C762" t="str">
            <v>Kapitalbas</v>
          </cell>
        </row>
        <row r="763">
          <cell r="C763" t="str">
            <v>Eget kapital koncernen</v>
          </cell>
          <cell r="E763">
            <v>858958.45282949856</v>
          </cell>
          <cell r="F763">
            <v>683427.46656614554</v>
          </cell>
          <cell r="G763">
            <v>746504.77007100498</v>
          </cell>
          <cell r="H763">
            <v>814725.33780476125</v>
          </cell>
          <cell r="I763">
            <v>711674.5925057428</v>
          </cell>
          <cell r="J763">
            <v>908849.2281739465</v>
          </cell>
          <cell r="K763">
            <v>1007482.8654358219</v>
          </cell>
          <cell r="L763">
            <v>1125791.5921310266</v>
          </cell>
          <cell r="M763">
            <v>1224027.9404558134</v>
          </cell>
          <cell r="N763">
            <v>1093300.5222425</v>
          </cell>
          <cell r="O763">
            <v>1206636.408535532</v>
          </cell>
          <cell r="P763">
            <v>1307717.6887188456</v>
          </cell>
          <cell r="Q763">
            <v>1097619.1778009019</v>
          </cell>
          <cell r="R763">
            <v>1186169.264030921</v>
          </cell>
          <cell r="S763">
            <v>1328942.6302259509</v>
          </cell>
          <cell r="T763">
            <v>1426993.8983840849</v>
          </cell>
          <cell r="U763">
            <v>1248507.3407846699</v>
          </cell>
          <cell r="V763">
            <v>1323543.4867709898</v>
          </cell>
          <cell r="W763">
            <v>1538160.4978696499</v>
          </cell>
          <cell r="X763">
            <v>1614303.4072737</v>
          </cell>
          <cell r="Y763">
            <v>1415947.1724044913</v>
          </cell>
          <cell r="Z763">
            <v>1529026.9816428395</v>
          </cell>
          <cell r="AA763">
            <v>1839272.5028754175</v>
          </cell>
          <cell r="AB763">
            <v>1945317.4540872683</v>
          </cell>
          <cell r="AC763">
            <v>1837512.8891921022</v>
          </cell>
          <cell r="AD763">
            <v>2172836.2374911765</v>
          </cell>
          <cell r="AE763">
            <v>2615543.3411971163</v>
          </cell>
          <cell r="AF763">
            <v>3172149.8589487337</v>
          </cell>
          <cell r="AG763">
            <v>3669900.4980705194</v>
          </cell>
          <cell r="AH763">
            <v>4119046.7569329645</v>
          </cell>
          <cell r="AI763">
            <v>4673309.0640702303</v>
          </cell>
        </row>
        <row r="764">
          <cell r="A764" t="str">
            <v>AvgVinstEjRevKong</v>
          </cell>
          <cell r="C764" t="str">
            <v>Avgår vinster som ej varit föremål för revision</v>
          </cell>
          <cell r="L764">
            <v>0</v>
          </cell>
          <cell r="M764">
            <v>-98236.185455813189</v>
          </cell>
          <cell r="N764">
            <v>-192375.93824250015</v>
          </cell>
          <cell r="O764">
            <v>0</v>
          </cell>
          <cell r="P764">
            <v>0</v>
          </cell>
          <cell r="Q764">
            <v>-103210.96480090257</v>
          </cell>
          <cell r="R764">
            <v>-191761.05103091983</v>
          </cell>
          <cell r="S764">
            <v>0</v>
          </cell>
          <cell r="T764">
            <v>0</v>
          </cell>
          <cell r="U764">
            <v>-106000</v>
          </cell>
          <cell r="V764">
            <v>-180762.8</v>
          </cell>
          <cell r="W764">
            <v>0</v>
          </cell>
          <cell r="X764">
            <v>0</v>
          </cell>
          <cell r="Y764">
            <v>-119595.51</v>
          </cell>
          <cell r="Z764">
            <v>-232704.79300000001</v>
          </cell>
          <cell r="AA764">
            <v>0</v>
          </cell>
          <cell r="AB764">
            <v>0</v>
          </cell>
          <cell r="AC764">
            <v>-245904.33499999999</v>
          </cell>
          <cell r="AD764">
            <v>-581789.50199999998</v>
          </cell>
          <cell r="AE764">
            <v>-926030.15399999998</v>
          </cell>
          <cell r="AF764">
            <v>0</v>
          </cell>
          <cell r="AG764">
            <v>-631686.32700000005</v>
          </cell>
          <cell r="AH764">
            <v>0</v>
          </cell>
        </row>
        <row r="765">
          <cell r="A765" t="str">
            <v>FaststUtd</v>
          </cell>
          <cell r="C765" t="str">
            <v>Föreslagen/antagen/fastställd utdelning</v>
          </cell>
          <cell r="L765">
            <v>-308112.924</v>
          </cell>
          <cell r="M765">
            <v>-308112.924</v>
          </cell>
          <cell r="N765">
            <v>0</v>
          </cell>
          <cell r="O765">
            <v>-208505.5815</v>
          </cell>
          <cell r="P765">
            <v>-313308.68099999998</v>
          </cell>
          <cell r="S765">
            <v>-196000</v>
          </cell>
          <cell r="T765">
            <v>-314960.33100000001</v>
          </cell>
          <cell r="U765">
            <v>0</v>
          </cell>
          <cell r="V765">
            <v>0</v>
          </cell>
          <cell r="W765">
            <v>-238400</v>
          </cell>
          <cell r="X765">
            <v>-317866.45799999998</v>
          </cell>
          <cell r="Y765">
            <v>0</v>
          </cell>
          <cell r="Z765">
            <v>0</v>
          </cell>
          <cell r="AA765">
            <v>-249201.0563</v>
          </cell>
          <cell r="AB765">
            <v>-353708.54060000001</v>
          </cell>
          <cell r="AC765">
            <v>0</v>
          </cell>
          <cell r="AD765">
            <v>0</v>
          </cell>
          <cell r="AE765">
            <v>0</v>
          </cell>
          <cell r="AF765">
            <v>-131710.90849999999</v>
          </cell>
          <cell r="AG765">
            <v>0</v>
          </cell>
          <cell r="AH765">
            <v>-558148.277</v>
          </cell>
        </row>
        <row r="766">
          <cell r="A766" t="str">
            <v>EKFinKonglo</v>
          </cell>
          <cell r="C766" t="str">
            <v>Eget kapital finansiella konglomeratet</v>
          </cell>
          <cell r="E766">
            <v>858958.45282949856</v>
          </cell>
          <cell r="F766">
            <v>683427.46656614554</v>
          </cell>
          <cell r="G766">
            <v>746504.77007100498</v>
          </cell>
          <cell r="H766">
            <v>814725.33780476125</v>
          </cell>
          <cell r="I766">
            <v>711674.5925057428</v>
          </cell>
          <cell r="J766">
            <v>908849.2281739465</v>
          </cell>
          <cell r="K766">
            <v>1007482.8654358219</v>
          </cell>
          <cell r="L766">
            <v>817678.66813102656</v>
          </cell>
          <cell r="M766">
            <v>817678.83100000035</v>
          </cell>
          <cell r="N766">
            <v>900924.5839999998</v>
          </cell>
          <cell r="O766">
            <v>998130.82703553198</v>
          </cell>
          <cell r="P766">
            <v>994409.00771884562</v>
          </cell>
          <cell r="Q766">
            <v>994408.21299999941</v>
          </cell>
          <cell r="R766">
            <v>994408.21300000115</v>
          </cell>
          <cell r="S766">
            <v>1132942.6302259509</v>
          </cell>
          <cell r="T766">
            <v>1112033.5673840849</v>
          </cell>
          <cell r="U766">
            <v>1142507.3407846699</v>
          </cell>
          <cell r="V766">
            <v>1142780.6867709898</v>
          </cell>
          <cell r="W766">
            <v>1299760.4978696499</v>
          </cell>
          <cell r="X766">
            <v>1296436.9492736999</v>
          </cell>
          <cell r="Y766">
            <v>1296351.6624044913</v>
          </cell>
          <cell r="Z766">
            <v>1296322.1886428394</v>
          </cell>
          <cell r="AA766">
            <v>1590071.4465754174</v>
          </cell>
          <cell r="AB766">
            <v>1591608.9134872684</v>
          </cell>
          <cell r="AC766">
            <v>1591608.5541921023</v>
          </cell>
          <cell r="AD766">
            <v>1591046.7354911766</v>
          </cell>
          <cell r="AE766">
            <v>1689513.1871971162</v>
          </cell>
          <cell r="AF766">
            <v>3040438.9504487338</v>
          </cell>
          <cell r="AG766">
            <v>3038214.1710705194</v>
          </cell>
          <cell r="AH766">
            <v>3560898.4799329648</v>
          </cell>
          <cell r="AI766">
            <v>4673309.0640702303</v>
          </cell>
        </row>
        <row r="767">
          <cell r="C767" t="str">
            <v>Tillkommer</v>
          </cell>
        </row>
        <row r="768">
          <cell r="A768" t="str">
            <v>SolvenskapNPV</v>
          </cell>
          <cell r="C768" t="str">
            <v>Solvenskapital (NPV)</v>
          </cell>
          <cell r="L768">
            <v>1241655.842100865</v>
          </cell>
          <cell r="M768">
            <v>1226095.0568409627</v>
          </cell>
          <cell r="N768">
            <v>2132552.0699999998</v>
          </cell>
          <cell r="O768">
            <v>2380023.0090000001</v>
          </cell>
          <cell r="P768">
            <v>2339638.287</v>
          </cell>
          <cell r="Q768">
            <v>2474200</v>
          </cell>
          <cell r="R768">
            <v>2563000</v>
          </cell>
          <cell r="S768">
            <v>2536000</v>
          </cell>
          <cell r="T768">
            <v>2522862.966</v>
          </cell>
          <cell r="U768">
            <v>1091000</v>
          </cell>
          <cell r="V768">
            <v>1162829.4673599999</v>
          </cell>
          <cell r="W768">
            <v>988277</v>
          </cell>
          <cell r="X768">
            <v>909011.94541000004</v>
          </cell>
          <cell r="Y768">
            <v>1069678.7390000001</v>
          </cell>
          <cell r="Z768">
            <v>1128549.05566586</v>
          </cell>
          <cell r="AA768">
            <v>1185392.7178100001</v>
          </cell>
          <cell r="AB768">
            <v>1294131.78162</v>
          </cell>
          <cell r="AC768">
            <v>1113847.89637</v>
          </cell>
          <cell r="AD768">
            <v>1369140.2422799999</v>
          </cell>
          <cell r="AE768">
            <v>1584899.5149999999</v>
          </cell>
          <cell r="AF768">
            <v>1793584.1577983</v>
          </cell>
          <cell r="AG768">
            <v>2066653.8770000001</v>
          </cell>
          <cell r="AH768">
            <v>2239076.4699999997</v>
          </cell>
        </row>
        <row r="769">
          <cell r="A769" t="str">
            <v>Förlagslån</v>
          </cell>
          <cell r="C769" t="str">
            <v>Förlagslån</v>
          </cell>
          <cell r="L769">
            <v>78488.276991999999</v>
          </cell>
          <cell r="M769">
            <v>83144</v>
          </cell>
          <cell r="N769">
            <v>93471</v>
          </cell>
          <cell r="O769">
            <v>86905.786999999997</v>
          </cell>
          <cell r="P769">
            <v>92190</v>
          </cell>
          <cell r="Q769">
            <v>96000</v>
          </cell>
          <cell r="R769">
            <v>99000</v>
          </cell>
          <cell r="S769">
            <v>99000</v>
          </cell>
          <cell r="T769">
            <v>99407</v>
          </cell>
          <cell r="U769">
            <v>77000</v>
          </cell>
          <cell r="V769">
            <v>81362</v>
          </cell>
          <cell r="W769">
            <v>76528</v>
          </cell>
          <cell r="X769">
            <v>75202.388000000006</v>
          </cell>
          <cell r="Y769">
            <v>83769.468999999997</v>
          </cell>
          <cell r="Z769">
            <v>87523.475999999995</v>
          </cell>
          <cell r="AA769">
            <v>78225.694000000003</v>
          </cell>
          <cell r="AB769">
            <v>79819.661999999997</v>
          </cell>
          <cell r="AC769">
            <v>66912.073000000004</v>
          </cell>
          <cell r="AD769">
            <v>70283.447</v>
          </cell>
          <cell r="AE769">
            <v>68717.263000000006</v>
          </cell>
          <cell r="AF769">
            <v>0</v>
          </cell>
          <cell r="AG769">
            <v>0</v>
          </cell>
          <cell r="AH769">
            <v>0</v>
          </cell>
        </row>
        <row r="770">
          <cell r="C770" t="str">
            <v>Avgår</v>
          </cell>
        </row>
        <row r="771">
          <cell r="A771" t="str">
            <v>YtlVärdejust</v>
          </cell>
          <cell r="C771" t="str">
            <v>Ytterligare värdejusteringar</v>
          </cell>
          <cell r="X771">
            <v>-17073.546999999999</v>
          </cell>
          <cell r="AA771">
            <v>-20347.062999999998</v>
          </cell>
          <cell r="AB771">
            <v>-19889.875</v>
          </cell>
          <cell r="AC771">
            <v>-32829.883999999998</v>
          </cell>
          <cell r="AD771">
            <v>-27591.186000000002</v>
          </cell>
          <cell r="AE771">
            <v>-7943.0510000000004</v>
          </cell>
          <cell r="AF771">
            <v>-7226.0540000000001</v>
          </cell>
          <cell r="AG771">
            <v>-7940.8549999999996</v>
          </cell>
          <cell r="AH771">
            <v>-7527.2930000000006</v>
          </cell>
        </row>
        <row r="772">
          <cell r="A772" t="str">
            <v>NegImmAnläggningsti</v>
          </cell>
          <cell r="C772" t="str">
            <v>Immateriella anläggningstillgångar</v>
          </cell>
          <cell r="E772">
            <v>-22544.999650000012</v>
          </cell>
          <cell r="F772">
            <v>-23143.289649999992</v>
          </cell>
          <cell r="G772">
            <v>-23935.945650000009</v>
          </cell>
          <cell r="H772">
            <v>-25991.102650000015</v>
          </cell>
          <cell r="I772">
            <v>-28006.939999999944</v>
          </cell>
          <cell r="J772">
            <v>-30663.122639999958</v>
          </cell>
          <cell r="K772">
            <v>-34830.076639999985</v>
          </cell>
          <cell r="L772">
            <v>-37516.896999999939</v>
          </cell>
          <cell r="M772">
            <v>-43675.320999999996</v>
          </cell>
          <cell r="N772">
            <v>-47520.595000000001</v>
          </cell>
          <cell r="O772">
            <v>-50297.139000000025</v>
          </cell>
          <cell r="P772">
            <v>-62006.411000000022</v>
          </cell>
          <cell r="Q772">
            <v>-65551.107000000018</v>
          </cell>
          <cell r="R772">
            <v>-76678.891999999993</v>
          </cell>
          <cell r="S772">
            <v>-80738.953000000009</v>
          </cell>
          <cell r="T772">
            <v>-88190.679229999951</v>
          </cell>
          <cell r="U772">
            <v>-90220.884979999973</v>
          </cell>
          <cell r="V772">
            <v>-88177.022239999904</v>
          </cell>
          <cell r="W772">
            <v>-86140.633619999979</v>
          </cell>
          <cell r="X772">
            <v>-84104.244969999942</v>
          </cell>
          <cell r="Y772">
            <v>-82067.856319999963</v>
          </cell>
          <cell r="Z772">
            <v>-80031.467650000006</v>
          </cell>
          <cell r="AA772">
            <v>-77995.07892999996</v>
          </cell>
          <cell r="AB772">
            <v>-75958.690249999985</v>
          </cell>
          <cell r="AC772">
            <v>-73922.301550000033</v>
          </cell>
          <cell r="AD772">
            <v>-73273.443900000013</v>
          </cell>
          <cell r="AE772">
            <v>-75306.964210000006</v>
          </cell>
          <cell r="AF772">
            <v>-81696.882099999988</v>
          </cell>
          <cell r="AG772">
            <v>-94377.58567999996</v>
          </cell>
          <cell r="AH772">
            <v>-117337.1838</v>
          </cell>
          <cell r="AI772">
            <v>-140224.45887000009</v>
          </cell>
        </row>
        <row r="773">
          <cell r="A773" t="str">
            <v>UppskjSkattefordrFinKong</v>
          </cell>
          <cell r="C773" t="str">
            <v>Uppskjutna skattefordringar</v>
          </cell>
          <cell r="L773">
            <v>-1059</v>
          </cell>
          <cell r="M773">
            <v>-1660</v>
          </cell>
          <cell r="N773">
            <v>-2265</v>
          </cell>
          <cell r="O773">
            <v>-2811.4319999999998</v>
          </cell>
          <cell r="P773">
            <v>-713</v>
          </cell>
          <cell r="Q773">
            <v>-1500</v>
          </cell>
          <cell r="R773">
            <v>-2000</v>
          </cell>
          <cell r="S773">
            <v>-3000</v>
          </cell>
          <cell r="T773">
            <v>-355.49799999999999</v>
          </cell>
          <cell r="U773">
            <v>-1000</v>
          </cell>
          <cell r="V773">
            <v>-465.2</v>
          </cell>
          <cell r="W773">
            <v>-185.75200000000001</v>
          </cell>
          <cell r="X773">
            <v>-460.86900000000003</v>
          </cell>
          <cell r="Y773">
            <v>-1801.174</v>
          </cell>
          <cell r="Z773">
            <v>-605.51499999999999</v>
          </cell>
          <cell r="AA773">
            <v>-1687.854</v>
          </cell>
          <cell r="AB773">
            <v>0</v>
          </cell>
          <cell r="AC773">
            <v>0</v>
          </cell>
          <cell r="AD773">
            <v>0</v>
          </cell>
          <cell r="AE773">
            <v>0</v>
          </cell>
          <cell r="AF773">
            <v>0</v>
          </cell>
          <cell r="AG773">
            <v>0</v>
          </cell>
          <cell r="AH773">
            <v>0</v>
          </cell>
        </row>
        <row r="774">
          <cell r="A774" t="str">
            <v>TotalKapbasFinKonglo</v>
          </cell>
          <cell r="C774" t="str">
            <v>Total kapitalbas</v>
          </cell>
          <cell r="E774">
            <v>836413.45317949855</v>
          </cell>
          <cell r="F774">
            <v>660284.17691614549</v>
          </cell>
          <cell r="G774">
            <v>722568.82442100497</v>
          </cell>
          <cell r="H774">
            <v>788734.23515476123</v>
          </cell>
          <cell r="I774">
            <v>683667.65250574285</v>
          </cell>
          <cell r="J774">
            <v>878186.10553394654</v>
          </cell>
          <cell r="K774">
            <v>972652.78879582195</v>
          </cell>
          <cell r="L774">
            <v>2099246.8902238919</v>
          </cell>
          <cell r="M774">
            <v>2081582.566840963</v>
          </cell>
          <cell r="N774">
            <v>3077162.0589999994</v>
          </cell>
          <cell r="O774">
            <v>3411951.052035532</v>
          </cell>
          <cell r="P774">
            <v>3363517.8837188459</v>
          </cell>
          <cell r="Q774">
            <v>3497557.1059999997</v>
          </cell>
          <cell r="R774">
            <v>3577729.3210000014</v>
          </cell>
          <cell r="S774">
            <v>3684203.6772259506</v>
          </cell>
          <cell r="T774">
            <v>3645757.3561540847</v>
          </cell>
          <cell r="U774">
            <v>2219286.4558046698</v>
          </cell>
          <cell r="V774">
            <v>2298329.9318909897</v>
          </cell>
          <cell r="W774">
            <v>2278239.1122496501</v>
          </cell>
          <cell r="X774">
            <v>2179012.6217137002</v>
          </cell>
          <cell r="Y774">
            <v>2365930.8400844918</v>
          </cell>
          <cell r="Z774">
            <v>2431757.737658699</v>
          </cell>
          <cell r="AA774">
            <v>2753659.8624554179</v>
          </cell>
          <cell r="AB774">
            <v>2869711.7918572682</v>
          </cell>
          <cell r="AC774">
            <v>2665616.3380121021</v>
          </cell>
          <cell r="AD774">
            <v>2929605.7948711766</v>
          </cell>
          <cell r="AE774">
            <v>3259879.9499871158</v>
          </cell>
          <cell r="AF774">
            <v>4745100.1721470347</v>
          </cell>
          <cell r="AG774">
            <v>5002549.6073905192</v>
          </cell>
          <cell r="AH774">
            <v>5675110.4731329652</v>
          </cell>
          <cell r="AI774">
            <v>5720113.6385700004</v>
          </cell>
        </row>
        <row r="776">
          <cell r="C776" t="str">
            <v>Kapitalbas per sektor</v>
          </cell>
        </row>
        <row r="777">
          <cell r="A777" t="str">
            <v>KapitalbasFörsäkr</v>
          </cell>
          <cell r="C777" t="str">
            <v>Kapitalbas för reglerade enheter inom försäkringssektorn</v>
          </cell>
          <cell r="L777">
            <v>1445776</v>
          </cell>
          <cell r="M777">
            <v>1426930.1328409626</v>
          </cell>
          <cell r="N777">
            <v>2415298.9749999996</v>
          </cell>
          <cell r="O777">
            <v>2578374.0525000002</v>
          </cell>
          <cell r="P777">
            <v>2481828.6060000001</v>
          </cell>
          <cell r="Q777">
            <v>2615000</v>
          </cell>
          <cell r="R777">
            <v>2705000</v>
          </cell>
          <cell r="S777">
            <v>2729000</v>
          </cell>
          <cell r="T777">
            <v>2682905.3369999998</v>
          </cell>
          <cell r="U777">
            <v>1223000</v>
          </cell>
          <cell r="V777">
            <v>1300085.7673599999</v>
          </cell>
          <cell r="W777">
            <v>1174468</v>
          </cell>
          <cell r="X777">
            <v>1071056.11641</v>
          </cell>
          <cell r="Y777">
            <v>1239634.67</v>
          </cell>
          <cell r="Z777">
            <v>1302775.9826658601</v>
          </cell>
          <cell r="AA777">
            <v>1429812.6895099999</v>
          </cell>
          <cell r="AB777">
            <v>1492134.38102</v>
          </cell>
          <cell r="AC777">
            <v>1297619.1543699999</v>
          </cell>
          <cell r="AD777">
            <v>1584652.5762799999</v>
          </cell>
          <cell r="AE777">
            <v>1892298.406</v>
          </cell>
          <cell r="AF777">
            <v>2597932.3162982999</v>
          </cell>
          <cell r="AG777">
            <v>2865916.9590000007</v>
          </cell>
          <cell r="AH777">
            <v>3312688.7719999999</v>
          </cell>
          <cell r="AI777">
            <v>3094953.01357</v>
          </cell>
        </row>
        <row r="778">
          <cell r="A778" t="str">
            <v>KapitalbasBank</v>
          </cell>
          <cell r="C778" t="str">
            <v>Kapitalbas för reglerade enheter inom bank- och värdepapperssektorn</v>
          </cell>
          <cell r="L778">
            <v>653471</v>
          </cell>
          <cell r="M778">
            <v>654653</v>
          </cell>
          <cell r="N778">
            <v>661863.33700000006</v>
          </cell>
          <cell r="O778">
            <v>833597</v>
          </cell>
          <cell r="P778">
            <v>881689.99999999988</v>
          </cell>
          <cell r="Q778">
            <v>883000</v>
          </cell>
          <cell r="R778">
            <v>873000</v>
          </cell>
          <cell r="S778">
            <v>955000</v>
          </cell>
          <cell r="T778">
            <v>962852</v>
          </cell>
          <cell r="U778">
            <v>986000</v>
          </cell>
          <cell r="V778">
            <v>988377</v>
          </cell>
          <cell r="W778">
            <v>1093904</v>
          </cell>
          <cell r="X778">
            <v>1108012.6214099999</v>
          </cell>
          <cell r="Y778">
            <v>1126296.1710000001</v>
          </cell>
          <cell r="Z778">
            <v>1128981.7549999999</v>
          </cell>
          <cell r="AA778">
            <v>1323847.1740000001</v>
          </cell>
          <cell r="AB778">
            <v>1377577.4129999999</v>
          </cell>
          <cell r="AC778">
            <v>1367997.1839999999</v>
          </cell>
          <cell r="AD778">
            <v>1344953.22</v>
          </cell>
          <cell r="AE778">
            <v>1367581.5449999999</v>
          </cell>
          <cell r="AF778">
            <v>2147167.8560000001</v>
          </cell>
          <cell r="AG778">
            <v>2136632.648</v>
          </cell>
          <cell r="AH778">
            <v>2362421.7009999999</v>
          </cell>
          <cell r="AI778">
            <v>2625160.625</v>
          </cell>
        </row>
        <row r="779">
          <cell r="C779" t="str">
            <v>Check</v>
          </cell>
          <cell r="E779">
            <v>836413.45317949855</v>
          </cell>
          <cell r="F779">
            <v>660284.17691614549</v>
          </cell>
          <cell r="G779">
            <v>722568.82442100497</v>
          </cell>
          <cell r="H779">
            <v>788734.23515476123</v>
          </cell>
          <cell r="I779">
            <v>683667.65250574285</v>
          </cell>
          <cell r="J779">
            <v>878186.10553394654</v>
          </cell>
          <cell r="K779">
            <v>972652.78879582195</v>
          </cell>
          <cell r="L779">
            <v>-0.10977610806003213</v>
          </cell>
          <cell r="M779">
            <v>-0.56599999964237213</v>
          </cell>
          <cell r="N779">
            <v>-0.25300000049173832</v>
          </cell>
          <cell r="O779">
            <v>-20.00046446826309</v>
          </cell>
          <cell r="P779">
            <v>-0.72228115424513817</v>
          </cell>
          <cell r="Q779">
            <v>-442.89400000032037</v>
          </cell>
          <cell r="R779">
            <v>-270.67899999860674</v>
          </cell>
          <cell r="S779">
            <v>203.67722595063969</v>
          </cell>
          <cell r="T779">
            <v>1.9154084846377373E-2</v>
          </cell>
          <cell r="U779">
            <v>10286.455804669764</v>
          </cell>
          <cell r="V779">
            <v>9867.164530989714</v>
          </cell>
          <cell r="W779">
            <v>9867.1122496500611</v>
          </cell>
          <cell r="X779">
            <v>-56.116106299683452</v>
          </cell>
          <cell r="Y779">
            <v>-9.1550825163722038E-4</v>
          </cell>
          <cell r="Z779">
            <v>-7.1609392762184143E-6</v>
          </cell>
          <cell r="AA779">
            <v>-1.0545821860432625E-3</v>
          </cell>
          <cell r="AB779">
            <v>-2.1627317182719707E-3</v>
          </cell>
          <cell r="AC779">
            <v>-3.5789795219898224E-4</v>
          </cell>
          <cell r="AD779">
            <v>-1.408823300153017E-3</v>
          </cell>
          <cell r="AE779">
            <v>-1.0128840804100037E-3</v>
          </cell>
          <cell r="AF779">
            <v>-1.5126541256904602E-4</v>
          </cell>
          <cell r="AG779">
            <v>3.9051845669746399E-4</v>
          </cell>
          <cell r="AH779">
            <v>1.3296585530042648E-4</v>
          </cell>
          <cell r="AI779">
            <v>0</v>
          </cell>
        </row>
        <row r="781">
          <cell r="C781" t="str">
            <v>Kapitalkrav per sektor</v>
          </cell>
        </row>
        <row r="782">
          <cell r="A782" t="str">
            <v>KapitalkravFörsäkr</v>
          </cell>
          <cell r="C782" t="str">
            <v>Kapitalkrav för reglerade enheter inom försäkringssektorn</v>
          </cell>
          <cell r="L782">
            <v>798380.89372547495</v>
          </cell>
          <cell r="M782">
            <v>792969.48936184659</v>
          </cell>
          <cell r="N782">
            <v>1341768.6769999999</v>
          </cell>
          <cell r="O782">
            <v>1491672.138</v>
          </cell>
          <cell r="P782">
            <v>1431623.8959999999</v>
          </cell>
          <cell r="Q782">
            <v>1513300</v>
          </cell>
          <cell r="R782">
            <v>1567000</v>
          </cell>
          <cell r="S782">
            <v>1531000</v>
          </cell>
          <cell r="T782">
            <v>1562997.551</v>
          </cell>
          <cell r="U782">
            <v>713700</v>
          </cell>
          <cell r="V782">
            <v>790220.08516999998</v>
          </cell>
          <cell r="W782">
            <v>844291.14399999997</v>
          </cell>
          <cell r="X782">
            <v>770840.92849982099</v>
          </cell>
          <cell r="Y782">
            <v>897917.36399999994</v>
          </cell>
          <cell r="Z782">
            <v>969219.26322659198</v>
          </cell>
          <cell r="AA782">
            <v>1023078.9825299999</v>
          </cell>
          <cell r="AB782">
            <v>1107845.93129635</v>
          </cell>
          <cell r="AC782">
            <v>952507.63199999998</v>
          </cell>
          <cell r="AD782">
            <v>1140223.3259699999</v>
          </cell>
          <cell r="AE782">
            <v>1281036.6769999999</v>
          </cell>
          <cell r="AF782">
            <v>1500046.73715583</v>
          </cell>
          <cell r="AG782">
            <v>1731202.5209999999</v>
          </cell>
          <cell r="AH782">
            <v>1891554.42</v>
          </cell>
          <cell r="AI782">
            <v>1923740.0680800001</v>
          </cell>
        </row>
        <row r="783">
          <cell r="A783" t="str">
            <v>KapitalkravBank</v>
          </cell>
          <cell r="C783" t="str">
            <v>Kapitalkrav för reglerade enheter inom bank- och värdepapperssektorn</v>
          </cell>
          <cell r="L783">
            <v>457885.10915000003</v>
          </cell>
          <cell r="M783">
            <v>495389.19416000007</v>
          </cell>
          <cell r="N783">
            <v>616744.16876000003</v>
          </cell>
          <cell r="O783">
            <v>562254.57328000001</v>
          </cell>
          <cell r="P783">
            <v>597411.64</v>
          </cell>
          <cell r="Q783">
            <v>651300</v>
          </cell>
          <cell r="R783">
            <v>670000</v>
          </cell>
          <cell r="S783">
            <v>702000</v>
          </cell>
          <cell r="T783">
            <v>789500</v>
          </cell>
          <cell r="U783">
            <v>790700</v>
          </cell>
          <cell r="V783">
            <v>818885.91100000008</v>
          </cell>
          <cell r="W783">
            <v>850656</v>
          </cell>
          <cell r="X783">
            <v>853058.72990000003</v>
          </cell>
          <cell r="Y783">
            <v>974470.62870701402</v>
          </cell>
          <cell r="Z783">
            <v>1018587.22807838</v>
          </cell>
          <cell r="AA783">
            <v>1069129.7184383899</v>
          </cell>
          <cell r="AB783">
            <v>1104618.18994103</v>
          </cell>
          <cell r="AC783">
            <v>916909.87274861801</v>
          </cell>
          <cell r="AD783">
            <v>967404.25940071396</v>
          </cell>
          <cell r="AE783">
            <v>959933.26934577199</v>
          </cell>
          <cell r="AF783">
            <v>1209078.1639476959</v>
          </cell>
          <cell r="AG783">
            <v>1245572.096492586</v>
          </cell>
          <cell r="AH783">
            <v>1278278.506288744</v>
          </cell>
          <cell r="AI783">
            <v>1288843.1144880799</v>
          </cell>
        </row>
        <row r="784">
          <cell r="A784" t="str">
            <v>VaravBuffertkrav</v>
          </cell>
          <cell r="C784" t="str">
            <v xml:space="preserve">   varav tillkommande buffertkrav</v>
          </cell>
          <cell r="L784">
            <v>137355.10915</v>
          </cell>
          <cell r="M784">
            <v>145502.60816000003</v>
          </cell>
          <cell r="N784">
            <v>186941.16876</v>
          </cell>
          <cell r="O784">
            <v>173811.57328000001</v>
          </cell>
          <cell r="P784">
            <v>184380.64</v>
          </cell>
          <cell r="Q784">
            <v>216500</v>
          </cell>
          <cell r="R784">
            <v>224000</v>
          </cell>
          <cell r="S784">
            <v>236000</v>
          </cell>
          <cell r="T784">
            <v>254000</v>
          </cell>
          <cell r="U784">
            <v>266000</v>
          </cell>
          <cell r="V784">
            <v>272611.53899999999</v>
          </cell>
          <cell r="W784">
            <v>280614</v>
          </cell>
          <cell r="X784">
            <v>287893.83600000001</v>
          </cell>
          <cell r="Y784">
            <v>323756.408</v>
          </cell>
          <cell r="Z784">
            <v>337671.033</v>
          </cell>
          <cell r="AA784">
            <v>381808.554</v>
          </cell>
          <cell r="AB784">
            <v>378399.66600000003</v>
          </cell>
          <cell r="AC784">
            <v>188669.353</v>
          </cell>
          <cell r="AD784">
            <v>200116.571</v>
          </cell>
          <cell r="AE784">
            <v>197404.39199999999</v>
          </cell>
          <cell r="AF784">
            <v>224164.106</v>
          </cell>
          <cell r="AG784">
            <v>227795.348</v>
          </cell>
          <cell r="AH784">
            <v>240226.603</v>
          </cell>
        </row>
        <row r="785">
          <cell r="A785" t="str">
            <v>VaravPelare2</v>
          </cell>
          <cell r="C785" t="str">
            <v xml:space="preserve">   varav tillkommande Pelare 2-krav</v>
          </cell>
          <cell r="L785">
            <v>11000</v>
          </cell>
          <cell r="M785">
            <v>11000</v>
          </cell>
          <cell r="N785">
            <v>46990</v>
          </cell>
          <cell r="O785">
            <v>33604</v>
          </cell>
          <cell r="P785">
            <v>35035</v>
          </cell>
          <cell r="Q785">
            <v>38750</v>
          </cell>
          <cell r="R785">
            <v>39000</v>
          </cell>
          <cell r="S785">
            <v>40000</v>
          </cell>
          <cell r="T785">
            <v>80563</v>
          </cell>
          <cell r="U785">
            <v>62000</v>
          </cell>
          <cell r="V785">
            <v>70196</v>
          </cell>
          <cell r="W785">
            <v>79310</v>
          </cell>
          <cell r="X785">
            <v>82594.019</v>
          </cell>
          <cell r="Y785">
            <v>114396.162582256</v>
          </cell>
          <cell r="Z785">
            <v>119344.53</v>
          </cell>
          <cell r="AA785">
            <v>114623.886</v>
          </cell>
          <cell r="AB785">
            <v>113380.96</v>
          </cell>
          <cell r="AC785">
            <v>118740.288</v>
          </cell>
          <cell r="AD785">
            <v>119815.947</v>
          </cell>
          <cell r="AE785">
            <v>122966.71799999999</v>
          </cell>
          <cell r="AF785">
            <v>260000</v>
          </cell>
          <cell r="AG785">
            <v>279765.56900000002</v>
          </cell>
          <cell r="AH785">
            <v>260000</v>
          </cell>
        </row>
        <row r="786">
          <cell r="A786" t="str">
            <v>KapkravFinKonglo</v>
          </cell>
          <cell r="C786" t="str">
            <v>Totalt kapitalkrav</v>
          </cell>
          <cell r="E786">
            <v>0</v>
          </cell>
          <cell r="F786">
            <v>0</v>
          </cell>
          <cell r="G786">
            <v>0</v>
          </cell>
          <cell r="H786">
            <v>0</v>
          </cell>
          <cell r="I786">
            <v>0</v>
          </cell>
          <cell r="J786">
            <v>0</v>
          </cell>
          <cell r="K786">
            <v>0</v>
          </cell>
          <cell r="L786">
            <v>1256266.002875475</v>
          </cell>
          <cell r="M786">
            <v>1288358.6835218468</v>
          </cell>
          <cell r="N786">
            <v>1958512.8457599999</v>
          </cell>
          <cell r="O786">
            <v>2053926.7112799999</v>
          </cell>
          <cell r="P786">
            <v>2029035.5359999998</v>
          </cell>
          <cell r="Q786">
            <v>2164600</v>
          </cell>
          <cell r="R786">
            <v>2237000</v>
          </cell>
          <cell r="S786">
            <v>2233000</v>
          </cell>
          <cell r="T786">
            <v>2352497.551</v>
          </cell>
          <cell r="U786">
            <v>1504400</v>
          </cell>
          <cell r="V786">
            <v>1609105.9961700002</v>
          </cell>
          <cell r="W786">
            <v>1694947.1439999999</v>
          </cell>
          <cell r="X786">
            <v>1623899.658399821</v>
          </cell>
          <cell r="Y786">
            <v>1872387.9927070141</v>
          </cell>
          <cell r="Z786">
            <v>1987806.491304972</v>
          </cell>
          <cell r="AA786">
            <v>2092208.7009683899</v>
          </cell>
          <cell r="AB786">
            <v>2212464.12123738</v>
          </cell>
          <cell r="AC786">
            <v>1869417.504748618</v>
          </cell>
          <cell r="AD786">
            <v>2107627.5853707138</v>
          </cell>
          <cell r="AE786">
            <v>2240969.9463457717</v>
          </cell>
          <cell r="AF786">
            <v>2709124.9011035259</v>
          </cell>
          <cell r="AG786">
            <v>2976774.6174925859</v>
          </cell>
          <cell r="AH786">
            <v>3169832.926288744</v>
          </cell>
          <cell r="AI786">
            <v>3212583.1825680798</v>
          </cell>
        </row>
        <row r="787">
          <cell r="O787">
            <v>1846511.1379999998</v>
          </cell>
          <cell r="S787">
            <v>1957000</v>
          </cell>
        </row>
        <row r="788">
          <cell r="A788" t="str">
            <v>ÖverskKapFinKonglo</v>
          </cell>
          <cell r="C788" t="str">
            <v>Överskott av kapital</v>
          </cell>
          <cell r="E788">
            <v>836413.45317949855</v>
          </cell>
          <cell r="F788">
            <v>660284.17691614549</v>
          </cell>
          <cell r="G788">
            <v>722568.82442100497</v>
          </cell>
          <cell r="H788">
            <v>788734.23515476123</v>
          </cell>
          <cell r="I788">
            <v>683667.65250574285</v>
          </cell>
          <cell r="J788">
            <v>878186.10553394654</v>
          </cell>
          <cell r="K788">
            <v>972652.78879582195</v>
          </cell>
          <cell r="L788">
            <v>842980.88734841696</v>
          </cell>
          <cell r="M788">
            <v>793223.8833191162</v>
          </cell>
          <cell r="N788">
            <v>1118649.2132399995</v>
          </cell>
          <cell r="O788">
            <v>1358024.340755532</v>
          </cell>
          <cell r="P788">
            <v>1334482.3477188461</v>
          </cell>
          <cell r="Q788">
            <v>1332957.1059999997</v>
          </cell>
          <cell r="R788">
            <v>1340729.3210000014</v>
          </cell>
          <cell r="S788">
            <v>1451203.6772259506</v>
          </cell>
          <cell r="T788">
            <v>1293259.8051540847</v>
          </cell>
          <cell r="U788">
            <v>714886.45580466976</v>
          </cell>
          <cell r="V788">
            <v>689223.93572098948</v>
          </cell>
          <cell r="W788">
            <v>583291.96824965021</v>
          </cell>
          <cell r="X788">
            <v>555112.96331387921</v>
          </cell>
          <cell r="Y788">
            <v>493542.84737747768</v>
          </cell>
          <cell r="Z788">
            <v>443951.24635372707</v>
          </cell>
          <cell r="AA788">
            <v>661451.161487028</v>
          </cell>
          <cell r="AB788">
            <v>657247.67061988823</v>
          </cell>
          <cell r="AC788">
            <v>796198.83326348406</v>
          </cell>
          <cell r="AD788">
            <v>821978.20950046275</v>
          </cell>
          <cell r="AE788">
            <v>1018910.0036413441</v>
          </cell>
          <cell r="AF788">
            <v>2035975.2710435088</v>
          </cell>
          <cell r="AG788">
            <v>2025774.9898979333</v>
          </cell>
          <cell r="AH788">
            <v>2505277.5468442212</v>
          </cell>
          <cell r="AI788">
            <v>2507530.4560019206</v>
          </cell>
        </row>
        <row r="790">
          <cell r="A790" t="str">
            <v>KapbasKapkrav</v>
          </cell>
          <cell r="C790" t="str">
            <v>Kapitalbas/Kapitalkrav</v>
          </cell>
          <cell r="L790">
            <v>1.6710210141951727</v>
          </cell>
          <cell r="M790">
            <v>1.6156855955290075</v>
          </cell>
          <cell r="N790">
            <v>1.5711727730873821</v>
          </cell>
          <cell r="O790">
            <v>1.6611844197250913</v>
          </cell>
          <cell r="P790">
            <v>1.6576929403363816</v>
          </cell>
          <cell r="Q790">
            <v>1.6157983488866301</v>
          </cell>
          <cell r="R790">
            <v>1.5993425663835501</v>
          </cell>
          <cell r="S790">
            <v>1.6498896897563595</v>
          </cell>
          <cell r="T790">
            <v>1.5497390654474201</v>
          </cell>
          <cell r="U790">
            <v>1.475197059162902</v>
          </cell>
          <cell r="V790">
            <v>1.4283272434267742</v>
          </cell>
          <cell r="W790">
            <v>1.3441357863662386</v>
          </cell>
          <cell r="X790">
            <v>1.341839448295028</v>
          </cell>
          <cell r="Y790">
            <v>1.2635900514742864</v>
          </cell>
          <cell r="Z790">
            <v>1.223337255560665</v>
          </cell>
          <cell r="AA790">
            <v>1.3161497039854924</v>
          </cell>
          <cell r="AB790">
            <v>1.297065911402127</v>
          </cell>
          <cell r="AC790">
            <v>1.4259074450950697</v>
          </cell>
          <cell r="AD790">
            <v>1.3900016374837321</v>
          </cell>
          <cell r="AE790">
            <v>1.4546736582981961</v>
          </cell>
          <cell r="AF790">
            <v>1.7515250663467681</v>
          </cell>
          <cell r="AG790">
            <v>1.680526828599572</v>
          </cell>
          <cell r="AH790">
            <v>1.7903500295131998</v>
          </cell>
          <cell r="AI790">
            <v>1.7805340168647235</v>
          </cell>
        </row>
        <row r="792">
          <cell r="C792" t="str">
            <v>Kapitalkrav - Konsoliderade situationen (kSEK)</v>
          </cell>
        </row>
        <row r="793">
          <cell r="C793" t="str">
            <v>Primärt kapital</v>
          </cell>
        </row>
        <row r="794">
          <cell r="A794" t="str">
            <v>Kapinstöverkfond</v>
          </cell>
          <cell r="C794" t="str">
            <v>Kapitalinstrument och tillhörande överkursfonder</v>
          </cell>
          <cell r="AB794">
            <v>728698.56299999997</v>
          </cell>
          <cell r="AE794">
            <v>636624.09199999995</v>
          </cell>
          <cell r="AF794">
            <v>641609.86099999992</v>
          </cell>
          <cell r="AG794">
            <v>711002.99899999995</v>
          </cell>
          <cell r="AH794">
            <v>709210.80899999989</v>
          </cell>
          <cell r="AI794">
            <v>770985.35700000008</v>
          </cell>
        </row>
        <row r="795">
          <cell r="A795" t="str">
            <v>KapinstöverkfondInstr1</v>
          </cell>
          <cell r="C795" t="str">
            <v>varav: instrumenttyp 1</v>
          </cell>
          <cell r="AB795">
            <v>76893.161999999997</v>
          </cell>
          <cell r="AE795">
            <v>77477.005999999994</v>
          </cell>
          <cell r="AF795">
            <v>77477.006000000008</v>
          </cell>
          <cell r="AG795">
            <v>77477.006000000008</v>
          </cell>
          <cell r="AH795">
            <v>77477.006000000008</v>
          </cell>
          <cell r="AI795">
            <v>77785.88</v>
          </cell>
        </row>
        <row r="796">
          <cell r="A796" t="str">
            <v>KapinstöverkfondInstr2</v>
          </cell>
          <cell r="C796" t="str">
            <v>varav: instrumenttyp 2</v>
          </cell>
          <cell r="AB796">
            <v>651805.40099999995</v>
          </cell>
          <cell r="AE796">
            <v>559147.08600000001</v>
          </cell>
          <cell r="AF796">
            <v>564132.85499999998</v>
          </cell>
          <cell r="AG796">
            <v>633525.99300000002</v>
          </cell>
          <cell r="AH796">
            <v>631733.80299999996</v>
          </cell>
          <cell r="AI796">
            <v>693199.47699999996</v>
          </cell>
        </row>
        <row r="797">
          <cell r="A797" t="str">
            <v>EjVutdutdelMed</v>
          </cell>
          <cell r="C797" t="str">
            <v>Ej vinstutdelade medel</v>
          </cell>
          <cell r="AB797">
            <v>721228.37699999998</v>
          </cell>
          <cell r="AE797">
            <v>966623.71600000001</v>
          </cell>
          <cell r="AF797">
            <v>961111.60800000001</v>
          </cell>
          <cell r="AG797">
            <v>1835258.7579999999</v>
          </cell>
          <cell r="AH797">
            <v>1837358.4479999999</v>
          </cell>
          <cell r="AI797">
            <v>1838223.547</v>
          </cell>
        </row>
        <row r="798">
          <cell r="A798" t="str">
            <v>AckAnnatTotres</v>
          </cell>
          <cell r="C798" t="str">
            <v>Ackumulerat annat totalresultat (och andra reserver)</v>
          </cell>
          <cell r="AB798">
            <v>15113.344999999999</v>
          </cell>
          <cell r="AE798">
            <v>9444.8070000000007</v>
          </cell>
          <cell r="AF798">
            <v>148558.785</v>
          </cell>
          <cell r="AG798">
            <v>-2224.8409999999999</v>
          </cell>
          <cell r="AH798">
            <v>-4017.0310000000004</v>
          </cell>
          <cell r="AI798">
            <v>-4882.1310000000003</v>
          </cell>
        </row>
        <row r="799">
          <cell r="A799" t="str">
            <v>DelårsresEfterAvdrag</v>
          </cell>
          <cell r="C799" t="str">
            <v>Delårsresultat netto efter avdrag för förutsebara kostnader och utdelningar som har verifierats av personer som har oberoende ställning</v>
          </cell>
          <cell r="AB799">
            <v>46139.569000000003</v>
          </cell>
          <cell r="AE799">
            <v>0</v>
          </cell>
          <cell r="AF799">
            <v>794981.44099999999</v>
          </cell>
          <cell r="AH799">
            <v>239206.40500000003</v>
          </cell>
          <cell r="AI799">
            <v>344478.89299999998</v>
          </cell>
        </row>
        <row r="800">
          <cell r="A800" t="str">
            <v>EgetKapitalKonsol</v>
          </cell>
          <cell r="C800" t="str">
            <v>Eget kapital enligt balansräkningen</v>
          </cell>
        </row>
        <row r="801">
          <cell r="A801" t="str">
            <v>FörutsebarUtd</v>
          </cell>
          <cell r="C801" t="str">
            <v>Förutsebar utdelning</v>
          </cell>
        </row>
        <row r="802">
          <cell r="A802" t="str">
            <v>DelårsresEjVer</v>
          </cell>
          <cell r="C802" t="str">
            <v>Delårsresultat som inte har verifierats av personer som har oberoende ställning</v>
          </cell>
        </row>
        <row r="803">
          <cell r="A803" t="str">
            <v>KärnprimärkapFöreLagjust</v>
          </cell>
          <cell r="C803" t="str">
            <v>Kärnprimärkapital före lagstiftningsjusteringar</v>
          </cell>
          <cell r="AB803">
            <v>1511179.8539999998</v>
          </cell>
          <cell r="AC803">
            <v>0</v>
          </cell>
          <cell r="AD803">
            <v>0</v>
          </cell>
          <cell r="AE803">
            <v>1612692.615</v>
          </cell>
          <cell r="AF803">
            <v>2546261.6949999998</v>
          </cell>
          <cell r="AG803">
            <v>2544036.9159999997</v>
          </cell>
          <cell r="AH803">
            <v>2781758.6310000001</v>
          </cell>
          <cell r="AI803">
            <v>2948805.6660000002</v>
          </cell>
        </row>
        <row r="805">
          <cell r="A805" t="str">
            <v>YtlVärdejustGrupp</v>
          </cell>
          <cell r="C805" t="str">
            <v>Ytterligare värdejusteringar</v>
          </cell>
          <cell r="X805">
            <v>-17073.546999999999</v>
          </cell>
          <cell r="AA805">
            <v>-20347.062999999998</v>
          </cell>
          <cell r="AB805">
            <v>-19889.875</v>
          </cell>
          <cell r="AC805">
            <v>-32829.883999999998</v>
          </cell>
          <cell r="AD805">
            <v>-27591.186000000002</v>
          </cell>
          <cell r="AE805">
            <v>-7943.0510000000004</v>
          </cell>
          <cell r="AF805">
            <v>-7226.0540000000001</v>
          </cell>
          <cell r="AG805">
            <v>-7940.8549999999996</v>
          </cell>
          <cell r="AH805">
            <v>-7527.2930000000006</v>
          </cell>
          <cell r="AI805">
            <v>-9337.3109999999997</v>
          </cell>
        </row>
        <row r="806">
          <cell r="A806" t="str">
            <v>NegImmAnläggningstiKapKrav</v>
          </cell>
          <cell r="C806" t="str">
            <v>Immateriella tillgångar (netto efter minskning för tillhörande skatteskulder) (negativt belopp)</v>
          </cell>
          <cell r="E806">
            <v>-22544.999650000012</v>
          </cell>
          <cell r="F806">
            <v>-23143.289649999992</v>
          </cell>
          <cell r="G806">
            <v>-23935.945650000009</v>
          </cell>
          <cell r="H806">
            <v>-25991.102650000015</v>
          </cell>
          <cell r="I806">
            <v>-28006.939999999944</v>
          </cell>
          <cell r="J806">
            <v>-30663.122639999958</v>
          </cell>
          <cell r="K806">
            <v>-34830.076639999985</v>
          </cell>
          <cell r="L806">
            <v>-37516.896999999939</v>
          </cell>
          <cell r="M806">
            <v>-43675.320999999996</v>
          </cell>
          <cell r="N806">
            <v>-47520.595000000001</v>
          </cell>
          <cell r="O806">
            <v>-50297.139000000025</v>
          </cell>
          <cell r="P806">
            <v>-62006.411000000022</v>
          </cell>
          <cell r="Q806">
            <v>-65551.107000000018</v>
          </cell>
          <cell r="R806">
            <v>-76678.891999999993</v>
          </cell>
          <cell r="S806">
            <v>-80738.953000000009</v>
          </cell>
          <cell r="T806">
            <v>-88190.679229999951</v>
          </cell>
          <cell r="U806">
            <v>-90220.884979999973</v>
          </cell>
          <cell r="V806">
            <v>-88177.022239999904</v>
          </cell>
          <cell r="W806">
            <v>-86140.633619999979</v>
          </cell>
          <cell r="X806">
            <v>-84104.244969999942</v>
          </cell>
          <cell r="Y806">
            <v>-82067.856319999963</v>
          </cell>
          <cell r="Z806">
            <v>-80031.467650000006</v>
          </cell>
          <cell r="AA806">
            <v>-77995.07892999996</v>
          </cell>
          <cell r="AB806">
            <v>-75958.690249999985</v>
          </cell>
          <cell r="AC806">
            <v>-73922.301550000033</v>
          </cell>
          <cell r="AD806">
            <v>-73273.443900000013</v>
          </cell>
          <cell r="AE806">
            <v>-75306.964210000006</v>
          </cell>
          <cell r="AF806">
            <v>-81696.881999999998</v>
          </cell>
          <cell r="AG806">
            <v>-94377.58567999996</v>
          </cell>
          <cell r="AH806">
            <v>-117337.18400000001</v>
          </cell>
          <cell r="AI806">
            <v>-140224.459</v>
          </cell>
        </row>
        <row r="807">
          <cell r="A807" t="str">
            <v>InstDirIndSyntet</v>
          </cell>
          <cell r="C807" t="str">
            <v>Institutets direkta, indirekta och syntetiska innehav av kärnprimärkapitalinstrument i enheter i den finansiella sektorn i vilka institutet har en väsentlig investering (belopp över tröskelvärdet på 10% netto, eller godtagbara korta positioner) (negativt belopp)</v>
          </cell>
          <cell r="AB807">
            <v>-4699.0389999999998</v>
          </cell>
          <cell r="AE807">
            <v>0</v>
          </cell>
          <cell r="AF807">
            <v>-29922.601999999999</v>
          </cell>
          <cell r="AG807">
            <v>-31484.43</v>
          </cell>
          <cell r="AH807">
            <v>-9966.8629999999994</v>
          </cell>
          <cell r="AI807">
            <v>0</v>
          </cell>
        </row>
        <row r="808">
          <cell r="A808" t="str">
            <v>TotLagjustKärnprimärkap</v>
          </cell>
          <cell r="C808" t="str">
            <v>Sammanlagda lagstiftningsjusteringar av kärnprimärkapital</v>
          </cell>
          <cell r="AB808">
            <v>-100547.60424999999</v>
          </cell>
          <cell r="AC808">
            <v>-106752.18555000002</v>
          </cell>
          <cell r="AD808">
            <v>-100864.62990000001</v>
          </cell>
          <cell r="AE808">
            <v>-83250.015210000012</v>
          </cell>
          <cell r="AF808">
            <v>-118845.538</v>
          </cell>
          <cell r="AG808">
            <v>-133802.87067999996</v>
          </cell>
          <cell r="AH808">
            <v>-134831.34000000003</v>
          </cell>
          <cell r="AI808">
            <v>-149561.76999999999</v>
          </cell>
        </row>
        <row r="810">
          <cell r="A810" t="str">
            <v>Kärnprimärkapital</v>
          </cell>
          <cell r="C810" t="str">
            <v>Kärnprimärkapital</v>
          </cell>
          <cell r="AB810">
            <v>1410632.2497499997</v>
          </cell>
          <cell r="AC810">
            <v>-106752.18555000002</v>
          </cell>
          <cell r="AD810">
            <v>-100864.62990000001</v>
          </cell>
          <cell r="AE810">
            <v>1529442.5997899999</v>
          </cell>
          <cell r="AF810">
            <v>2427416.1569999997</v>
          </cell>
          <cell r="AG810">
            <v>2410234.0453199996</v>
          </cell>
          <cell r="AH810">
            <v>2646927.2910000002</v>
          </cell>
          <cell r="AI810">
            <v>2799243.8960000002</v>
          </cell>
        </row>
        <row r="812">
          <cell r="A812" t="str">
            <v>Primärkapitaltillskott</v>
          </cell>
          <cell r="C812" t="str">
            <v>Primärkapitaltillskott</v>
          </cell>
          <cell r="AB812">
            <v>0</v>
          </cell>
          <cell r="AE812">
            <v>0</v>
          </cell>
          <cell r="AF812">
            <v>0</v>
          </cell>
          <cell r="AH812">
            <v>0</v>
          </cell>
          <cell r="AI812">
            <v>0</v>
          </cell>
        </row>
        <row r="813">
          <cell r="A813" t="str">
            <v>Primärkapital</v>
          </cell>
          <cell r="C813" t="str">
            <v xml:space="preserve">Primärkapital (primärkapital =kärnprimärkapital + primärkapitaltillskott </v>
          </cell>
          <cell r="AB813">
            <v>1410632.2497499997</v>
          </cell>
          <cell r="AC813">
            <v>-106752.18555000002</v>
          </cell>
          <cell r="AD813">
            <v>-100864.62990000001</v>
          </cell>
          <cell r="AE813">
            <v>1529442.5997899999</v>
          </cell>
          <cell r="AF813">
            <v>2427416.1569999997</v>
          </cell>
          <cell r="AG813">
            <v>2410234.0453199996</v>
          </cell>
          <cell r="AH813">
            <v>2646927.2910000002</v>
          </cell>
          <cell r="AI813">
            <v>2799243.8960000002</v>
          </cell>
        </row>
        <row r="815">
          <cell r="C815" t="str">
            <v>Supplementärkapital: instrument och avsättningar</v>
          </cell>
        </row>
        <row r="816">
          <cell r="A816" t="str">
            <v>KapinstÖverkurs</v>
          </cell>
          <cell r="C816" t="str">
            <v>Kapitalinstrument och tillhörande överkursfonder</v>
          </cell>
          <cell r="AB816">
            <v>79819.661999999997</v>
          </cell>
          <cell r="AE816">
            <v>68717.263000000006</v>
          </cell>
          <cell r="AF816">
            <v>0</v>
          </cell>
          <cell r="AH816">
            <v>0</v>
          </cell>
          <cell r="AI816">
            <v>0</v>
          </cell>
        </row>
        <row r="817">
          <cell r="A817" t="str">
            <v>Supplementärkapital</v>
          </cell>
          <cell r="C817" t="str">
            <v>Supplementärkapital</v>
          </cell>
          <cell r="AB817">
            <v>79819.661999999997</v>
          </cell>
          <cell r="AC817">
            <v>0</v>
          </cell>
          <cell r="AD817">
            <v>0</v>
          </cell>
          <cell r="AE817">
            <v>68717.263000000006</v>
          </cell>
          <cell r="AF817">
            <v>0</v>
          </cell>
          <cell r="AG817">
            <v>0</v>
          </cell>
          <cell r="AH817">
            <v>0</v>
          </cell>
          <cell r="AI817">
            <v>0</v>
          </cell>
        </row>
        <row r="819">
          <cell r="A819" t="str">
            <v>TotKap</v>
          </cell>
          <cell r="C819" t="str">
            <v>Totalt kapital (totalt kapital = primärkapital + supplementärkapital)</v>
          </cell>
          <cell r="Y819">
            <v>0</v>
          </cell>
          <cell r="Z819">
            <v>0</v>
          </cell>
          <cell r="AA819">
            <v>0</v>
          </cell>
          <cell r="AB819">
            <v>1490451.9117499997</v>
          </cell>
          <cell r="AC819">
            <v>-106752.18555000002</v>
          </cell>
          <cell r="AD819">
            <v>-100864.62990000001</v>
          </cell>
          <cell r="AE819">
            <v>1598159.8627899999</v>
          </cell>
          <cell r="AF819">
            <v>2427416.1569999997</v>
          </cell>
          <cell r="AG819">
            <v>2410234.0453199996</v>
          </cell>
          <cell r="AH819">
            <v>2646927.2910000002</v>
          </cell>
          <cell r="AI819">
            <v>2799243.8960000002</v>
          </cell>
        </row>
        <row r="821">
          <cell r="A821" t="str">
            <v>TotRiskvägdaTillgångar</v>
          </cell>
          <cell r="C821" t="str">
            <v>Totala riskvägda tillgångar</v>
          </cell>
          <cell r="AB821">
            <v>8367467.5240000002</v>
          </cell>
          <cell r="AC821">
            <v>8109132.9110000003</v>
          </cell>
          <cell r="AD821">
            <v>8663236.6150000002</v>
          </cell>
          <cell r="AE821">
            <v>8525338.7749999985</v>
          </cell>
          <cell r="AF821">
            <v>9956978.4920000006</v>
          </cell>
          <cell r="AG821">
            <v>10096481.504999999</v>
          </cell>
          <cell r="AH821">
            <v>10598263.935999999</v>
          </cell>
          <cell r="AI821">
            <v>10703188.967999998</v>
          </cell>
        </row>
        <row r="823">
          <cell r="C823" t="str">
            <v>Kapitalrelationer och buffertar</v>
          </cell>
        </row>
        <row r="824">
          <cell r="A824" t="str">
            <v>KärnPrimKapRel</v>
          </cell>
          <cell r="C824" t="str">
            <v>Kärnprimärkapital (som procentandel av det riskvägda exponeringsbeloppet)</v>
          </cell>
          <cell r="L824">
            <v>0.16300000000000001</v>
          </cell>
          <cell r="M824">
            <v>0.159</v>
          </cell>
          <cell r="N824">
            <v>0.152</v>
          </cell>
          <cell r="O824">
            <v>0.17499999999999999</v>
          </cell>
          <cell r="P824">
            <v>0.17899999999999999</v>
          </cell>
          <cell r="Q824">
            <v>0.17100000000000001</v>
          </cell>
          <cell r="R824">
            <v>0.16300000000000001</v>
          </cell>
          <cell r="S824">
            <v>0.16800000000000001</v>
          </cell>
          <cell r="T824">
            <v>0.157</v>
          </cell>
          <cell r="U824">
            <v>0.16300000000000001</v>
          </cell>
          <cell r="V824">
            <v>0.156</v>
          </cell>
          <cell r="W824">
            <v>0.17699999999999999</v>
          </cell>
          <cell r="X824">
            <v>0.17599999999999999</v>
          </cell>
          <cell r="Y824">
            <v>0.16</v>
          </cell>
          <cell r="Z824">
            <v>0.154</v>
          </cell>
          <cell r="AA824">
            <v>0.187</v>
          </cell>
          <cell r="AB824">
            <v>0.16900000000000001</v>
          </cell>
          <cell r="AC824">
            <v>0.17277172804745999</v>
          </cell>
          <cell r="AD824">
            <v>0.162625928692818</v>
          </cell>
          <cell r="AE824">
            <v>0.17939962743591967</v>
          </cell>
          <cell r="AF824">
            <v>0.24379043893188301</v>
          </cell>
          <cell r="AG824">
            <v>0.23872019612043999</v>
          </cell>
          <cell r="AH824">
            <v>0.24979999999999999</v>
          </cell>
          <cell r="AI824">
            <v>0.26150000000000001</v>
          </cell>
        </row>
        <row r="825">
          <cell r="A825" t="str">
            <v>PrimKapRel</v>
          </cell>
          <cell r="C825" t="str">
            <v>Primärkapital (som procentandel av det riskvägda exponeringsbeloppet)</v>
          </cell>
          <cell r="L825">
            <v>0.16300000000000001</v>
          </cell>
          <cell r="M825">
            <v>0.159</v>
          </cell>
          <cell r="N825">
            <v>0.152</v>
          </cell>
          <cell r="O825">
            <v>0.17499999999999999</v>
          </cell>
          <cell r="P825">
            <v>0.17899999999999999</v>
          </cell>
          <cell r="Q825">
            <v>0.17100000000000001</v>
          </cell>
          <cell r="R825">
            <v>0.16300000000000001</v>
          </cell>
          <cell r="S825">
            <v>0.16800000000000001</v>
          </cell>
          <cell r="T825">
            <v>0.157</v>
          </cell>
          <cell r="U825">
            <v>0.16300000000000001</v>
          </cell>
          <cell r="V825">
            <v>0.156</v>
          </cell>
          <cell r="W825">
            <v>0.17699999999999999</v>
          </cell>
          <cell r="X825">
            <v>0.17599999999999999</v>
          </cell>
          <cell r="Y825">
            <v>0.16</v>
          </cell>
          <cell r="Z825">
            <v>0.154</v>
          </cell>
          <cell r="AA825">
            <v>0.187</v>
          </cell>
          <cell r="AB825">
            <v>0.16900000000000001</v>
          </cell>
          <cell r="AC825">
            <v>0.17277172804745999</v>
          </cell>
          <cell r="AD825">
            <v>0.162625928692818</v>
          </cell>
          <cell r="AE825">
            <v>0.17939962743591967</v>
          </cell>
          <cell r="AF825">
            <v>0.24379043893188301</v>
          </cell>
          <cell r="AG825">
            <v>0.23872019612043999</v>
          </cell>
          <cell r="AH825">
            <v>0.24979999999999999</v>
          </cell>
          <cell r="AI825">
            <v>0.26150000000000001</v>
          </cell>
        </row>
        <row r="826">
          <cell r="A826" t="str">
            <v>TotalKapRel</v>
          </cell>
          <cell r="C826" t="str">
            <v>Totalt kapital (som procentandel av de riskvägda exponeringsbeloppet)</v>
          </cell>
          <cell r="L826">
            <v>0.183</v>
          </cell>
          <cell r="M826">
            <v>0.17899999999999999</v>
          </cell>
          <cell r="N826">
            <v>0.17199999999999999</v>
          </cell>
          <cell r="O826">
            <v>0.19500000000000001</v>
          </cell>
          <cell r="P826">
            <v>0.19900000000000001</v>
          </cell>
          <cell r="Q826">
            <v>0.191</v>
          </cell>
          <cell r="R826">
            <v>0.183</v>
          </cell>
          <cell r="S826">
            <v>0.187</v>
          </cell>
          <cell r="T826">
            <v>0.17499999999999999</v>
          </cell>
          <cell r="U826">
            <v>0.17599999999999999</v>
          </cell>
          <cell r="V826">
            <v>0.16900000000000001</v>
          </cell>
          <cell r="W826">
            <v>0.189</v>
          </cell>
          <cell r="X826">
            <v>0.188</v>
          </cell>
          <cell r="Y826">
            <v>0.17100000000000001</v>
          </cell>
          <cell r="Z826">
            <v>0.16600000000000001</v>
          </cell>
          <cell r="AA826">
            <v>0.19700000000000001</v>
          </cell>
          <cell r="AB826">
            <v>0.17799999999999999</v>
          </cell>
          <cell r="AC826">
            <v>0.18102317413107699</v>
          </cell>
          <cell r="AD826">
            <v>0.17073876805337601</v>
          </cell>
          <cell r="AE826">
            <v>0.18745998313715101</v>
          </cell>
          <cell r="AF826">
            <v>0.24379043893188301</v>
          </cell>
          <cell r="AG826">
            <v>0.23872019612043999</v>
          </cell>
          <cell r="AH826">
            <v>0.24979999999999999</v>
          </cell>
          <cell r="AI826">
            <v>0.26150000000000001</v>
          </cell>
        </row>
        <row r="827">
          <cell r="A827" t="str">
            <v>InstBuffertkrav</v>
          </cell>
          <cell r="C827" t="str">
            <v>Institutspecifika buffertkrav (krav på kärnprimärkapital i enlighet med artikel 92.1 a  plus krav på kapitalkonserveringsbuffert och kontracyklisk kapitalbuffert, plus systemriskbuffert, plus buffert för systemviktiga institut (buffert för globala systemviktiga institut eller andra systemviktiga institut) uttryckt som en procentandel av det riskvägda exponeringsbeloppet)</v>
          </cell>
          <cell r="L827">
            <v>3.5000000000000003E-2</v>
          </cell>
          <cell r="M827">
            <v>3.5000000000000003E-2</v>
          </cell>
          <cell r="N827">
            <v>0.04</v>
          </cell>
          <cell r="O827">
            <v>0.04</v>
          </cell>
          <cell r="P827">
            <v>0.04</v>
          </cell>
          <cell r="Q827">
            <v>4.4999999999999998E-2</v>
          </cell>
          <cell r="R827">
            <v>4.4999999999999998E-2</v>
          </cell>
          <cell r="S827">
            <v>4.4999999999999998E-2</v>
          </cell>
          <cell r="T827">
            <v>4.4999999999999998E-2</v>
          </cell>
          <cell r="U827">
            <v>4.4999999999999998E-2</v>
          </cell>
          <cell r="V827">
            <v>4.4999999999999998E-2</v>
          </cell>
          <cell r="W827">
            <v>4.4999999999999998E-2</v>
          </cell>
          <cell r="X827">
            <v>4.4999999999999998E-2</v>
          </cell>
          <cell r="Y827">
            <v>4.4999999999999998E-2</v>
          </cell>
          <cell r="Z827">
            <v>4.4999999999999998E-2</v>
          </cell>
          <cell r="AA827">
            <v>0.05</v>
          </cell>
          <cell r="AB827">
            <v>0.05</v>
          </cell>
          <cell r="AC827">
            <v>2.5000000000000001E-2</v>
          </cell>
          <cell r="AD827">
            <v>2.5000000000000001E-2</v>
          </cell>
          <cell r="AE827">
            <v>2.5000000000000001E-2</v>
          </cell>
          <cell r="AF827">
            <v>2.5000000000000001E-2</v>
          </cell>
          <cell r="AG827">
            <v>2.5000000000000001E-2</v>
          </cell>
          <cell r="AH827">
            <v>2.5000000000000001E-2</v>
          </cell>
          <cell r="AI827">
            <v>2.5000000000000001E-2</v>
          </cell>
        </row>
        <row r="828">
          <cell r="A828" t="str">
            <v>Gammal-KravKapKonsBuffert</v>
          </cell>
          <cell r="C828" t="str">
            <v>varav krav på kapitalkonserveringsbuffert, %</v>
          </cell>
          <cell r="L828">
            <v>2.5000000000000001E-2</v>
          </cell>
          <cell r="M828">
            <v>2.5000000000000001E-2</v>
          </cell>
          <cell r="N828">
            <v>2.5000000000000001E-2</v>
          </cell>
          <cell r="O828">
            <v>2.5000000000000001E-2</v>
          </cell>
          <cell r="P828">
            <v>2.5000000000000001E-2</v>
          </cell>
          <cell r="Q828">
            <v>2.5000000000000001E-2</v>
          </cell>
          <cell r="R828">
            <v>2.5000000000000001E-2</v>
          </cell>
          <cell r="S828">
            <v>2.5000000000000001E-2</v>
          </cell>
          <cell r="T828">
            <v>2.5000000000000001E-2</v>
          </cell>
          <cell r="U828">
            <v>2.5000000000000001E-2</v>
          </cell>
          <cell r="V828">
            <v>2.5000000000000001E-2</v>
          </cell>
          <cell r="W828">
            <v>2.5000000000000001E-2</v>
          </cell>
          <cell r="X828">
            <v>2.5000000000000001E-2</v>
          </cell>
          <cell r="Y828">
            <v>2.5000000000000001E-2</v>
          </cell>
          <cell r="Z828">
            <v>2.5000000000000001E-2</v>
          </cell>
          <cell r="AA828">
            <v>2.5000000000000001E-2</v>
          </cell>
          <cell r="AB828">
            <v>2.5000000000000001E-2</v>
          </cell>
          <cell r="AC828">
            <v>2.5000000000000001E-2</v>
          </cell>
          <cell r="AD828">
            <v>2.5000000000000001E-2</v>
          </cell>
          <cell r="AE828">
            <v>2.5000000000000001E-2</v>
          </cell>
          <cell r="AF828">
            <v>2.5000000000000001E-2</v>
          </cell>
          <cell r="AG828">
            <v>2.5000000000000001E-2</v>
          </cell>
          <cell r="AH828">
            <v>2.5000000000000001E-2</v>
          </cell>
          <cell r="AI828">
            <v>2.5000000000000001E-2</v>
          </cell>
        </row>
        <row r="829">
          <cell r="A829" t="str">
            <v>KravKontrcyklBuffert</v>
          </cell>
          <cell r="C829" t="str">
            <v>varav krav på kontracyklisk buffert, %</v>
          </cell>
          <cell r="L829">
            <v>0.01</v>
          </cell>
          <cell r="M829">
            <v>0.01</v>
          </cell>
          <cell r="N829">
            <v>1.4999999999999999E-2</v>
          </cell>
          <cell r="O829">
            <v>1.4999999999999999E-2</v>
          </cell>
          <cell r="P829">
            <v>1.4999999999999999E-2</v>
          </cell>
          <cell r="Q829">
            <v>0.02</v>
          </cell>
          <cell r="R829">
            <v>0.02</v>
          </cell>
          <cell r="S829">
            <v>0.02</v>
          </cell>
          <cell r="T829">
            <v>0.02</v>
          </cell>
          <cell r="U829">
            <v>0.02</v>
          </cell>
          <cell r="V829">
            <v>0.02</v>
          </cell>
          <cell r="W829">
            <v>0.02</v>
          </cell>
          <cell r="X829">
            <v>0.02</v>
          </cell>
          <cell r="Y829">
            <v>0.02</v>
          </cell>
          <cell r="Z829">
            <v>0.02</v>
          </cell>
          <cell r="AA829">
            <v>2.5000000000000001E-2</v>
          </cell>
          <cell r="AB829">
            <v>2.5000000000000001E-2</v>
          </cell>
          <cell r="AC829">
            <v>0</v>
          </cell>
          <cell r="AD829">
            <v>0</v>
          </cell>
          <cell r="AE829">
            <v>0</v>
          </cell>
          <cell r="AF829">
            <v>0</v>
          </cell>
          <cell r="AH829">
            <v>0</v>
          </cell>
          <cell r="AI829">
            <v>0</v>
          </cell>
        </row>
        <row r="830">
          <cell r="A830" t="str">
            <v>Kravsystemriskbuffert</v>
          </cell>
          <cell r="C830" t="str">
            <v>varav: krav på systemriskbuffert</v>
          </cell>
          <cell r="AB830">
            <v>0</v>
          </cell>
          <cell r="AF830">
            <v>0</v>
          </cell>
          <cell r="AH830">
            <v>0</v>
          </cell>
          <cell r="AI830">
            <v>0</v>
          </cell>
        </row>
        <row r="831">
          <cell r="A831" t="str">
            <v>Kravglobalsystemv</v>
          </cell>
          <cell r="C831" t="str">
            <v>varav: buffert för globalt systemviktigt institut eller för annat systemviktigt institut</v>
          </cell>
          <cell r="AB831">
            <v>0</v>
          </cell>
          <cell r="AF831">
            <v>0</v>
          </cell>
          <cell r="AH831">
            <v>0</v>
          </cell>
          <cell r="AI831">
            <v>0</v>
          </cell>
        </row>
        <row r="832">
          <cell r="A832" t="str">
            <v>KärnprimkapBuffertkr</v>
          </cell>
          <cell r="C832" t="str">
            <v>Kärnprimärkapital tillgängligt att användas som buffert (som procentandel av det riskvägda exponeringsbeloppet)</v>
          </cell>
          <cell r="L832">
            <v>0.11799999999999999</v>
          </cell>
          <cell r="M832">
            <v>0.114</v>
          </cell>
          <cell r="N832">
            <v>0.107</v>
          </cell>
          <cell r="O832">
            <v>0.13</v>
          </cell>
          <cell r="P832">
            <v>0.13400000000000001</v>
          </cell>
          <cell r="Q832">
            <v>0.126</v>
          </cell>
          <cell r="R832">
            <v>0.11799999999999999</v>
          </cell>
          <cell r="S832">
            <v>0.123</v>
          </cell>
          <cell r="T832">
            <v>0.112</v>
          </cell>
          <cell r="U832">
            <v>0.11799999999999999</v>
          </cell>
          <cell r="V832">
            <v>0.111</v>
          </cell>
          <cell r="W832">
            <v>0.13200000000000001</v>
          </cell>
          <cell r="X832">
            <v>0.13100000000000001</v>
          </cell>
          <cell r="Y832">
            <v>0.115</v>
          </cell>
          <cell r="Z832">
            <v>0.109</v>
          </cell>
          <cell r="AA832">
            <v>0.14199999999999999</v>
          </cell>
          <cell r="AB832">
            <v>9.8124612700916894E-2</v>
          </cell>
          <cell r="AC832">
            <v>0.12777172804746001</v>
          </cell>
          <cell r="AD832">
            <v>0.117625928692818</v>
          </cell>
          <cell r="AE832">
            <v>0.13439962743591966</v>
          </cell>
          <cell r="AG832">
            <v>0.15872019612044</v>
          </cell>
        </row>
        <row r="834">
          <cell r="C834" t="str">
            <v>Riskvägt exponeringsbelopp och kapitalkrav</v>
          </cell>
        </row>
        <row r="835">
          <cell r="A835" t="str">
            <v>BeloppKreditrisk</v>
          </cell>
          <cell r="C835" t="str">
            <v>Kreditrisk enligt schablonmetoden</v>
          </cell>
          <cell r="L835">
            <v>2929614</v>
          </cell>
          <cell r="M835">
            <v>3161424</v>
          </cell>
          <cell r="N835">
            <v>3670790</v>
          </cell>
          <cell r="O835">
            <v>3339507.3901</v>
          </cell>
          <cell r="P835">
            <v>3436344.05</v>
          </cell>
          <cell r="Q835">
            <v>3631000</v>
          </cell>
          <cell r="R835">
            <v>3770000</v>
          </cell>
          <cell r="S835">
            <v>4048600</v>
          </cell>
          <cell r="T835">
            <v>4227400</v>
          </cell>
          <cell r="U835">
            <v>4493400</v>
          </cell>
          <cell r="V835">
            <v>4646749.25</v>
          </cell>
          <cell r="W835">
            <v>4824426.7349999994</v>
          </cell>
          <cell r="X835">
            <v>4795435.9000000004</v>
          </cell>
          <cell r="Y835">
            <v>5594632.9059999995</v>
          </cell>
          <cell r="Z835">
            <v>5902701.3319999995</v>
          </cell>
          <cell r="AA835">
            <v>6034225.2410000004</v>
          </cell>
          <cell r="AB835">
            <v>6529796.2979999995</v>
          </cell>
          <cell r="AC835">
            <v>6660056.4480000008</v>
          </cell>
          <cell r="AD835">
            <v>7214459.2139999997</v>
          </cell>
          <cell r="AE835">
            <v>7076544.811999999</v>
          </cell>
          <cell r="AF835">
            <v>7970312.4540000008</v>
          </cell>
          <cell r="AG835">
            <v>8122376.0920000002</v>
          </cell>
          <cell r="AH835">
            <v>8623002.8859999999</v>
          </cell>
          <cell r="AI835">
            <v>8730223.129999999</v>
          </cell>
        </row>
        <row r="836">
          <cell r="A836" t="str">
            <v>BeloppInstitutsexp</v>
          </cell>
          <cell r="C836" t="str">
            <v>varav exponeringar mot institut (riskvikt 20 %)</v>
          </cell>
          <cell r="L836">
            <v>339911</v>
          </cell>
          <cell r="M836">
            <v>555615</v>
          </cell>
          <cell r="N836">
            <v>848164</v>
          </cell>
          <cell r="O836">
            <v>387961</v>
          </cell>
          <cell r="P836">
            <v>315753.40000000002</v>
          </cell>
          <cell r="Q836">
            <v>403000</v>
          </cell>
          <cell r="R836">
            <v>351000</v>
          </cell>
          <cell r="S836">
            <v>314300</v>
          </cell>
          <cell r="T836">
            <v>344700</v>
          </cell>
          <cell r="U836">
            <v>423700</v>
          </cell>
          <cell r="V836">
            <v>369723.2</v>
          </cell>
          <cell r="W836">
            <v>403309.56</v>
          </cell>
          <cell r="X836">
            <v>181736.90400000001</v>
          </cell>
          <cell r="Y836">
            <v>517105.14799999999</v>
          </cell>
          <cell r="Z836">
            <v>445875.94500000001</v>
          </cell>
          <cell r="AA836">
            <v>492902.13099999999</v>
          </cell>
          <cell r="AB836">
            <v>350028.69699999999</v>
          </cell>
          <cell r="AC836">
            <v>336209.15400000004</v>
          </cell>
          <cell r="AD836">
            <v>368371.97400000005</v>
          </cell>
          <cell r="AE836">
            <v>168814.11499999999</v>
          </cell>
          <cell r="AF836">
            <v>449715.011</v>
          </cell>
          <cell r="AG836">
            <v>543308.95699999994</v>
          </cell>
          <cell r="AH836">
            <v>467414.61600000004</v>
          </cell>
          <cell r="AI836">
            <v>478083.40900000004</v>
          </cell>
        </row>
        <row r="837">
          <cell r="A837" t="str">
            <v>BeloppFöretagsexp</v>
          </cell>
          <cell r="C837" t="str">
            <v>varav exponeringar mot företag (riskvikt 100 %)</v>
          </cell>
          <cell r="L837">
            <v>27192</v>
          </cell>
          <cell r="M837">
            <v>26847</v>
          </cell>
          <cell r="N837">
            <v>32440</v>
          </cell>
          <cell r="O837">
            <v>26046.608</v>
          </cell>
          <cell r="P837">
            <v>28361</v>
          </cell>
          <cell r="Q837">
            <v>29000</v>
          </cell>
          <cell r="R837">
            <v>26000</v>
          </cell>
          <cell r="S837">
            <v>36300</v>
          </cell>
          <cell r="T837">
            <v>54700</v>
          </cell>
          <cell r="U837">
            <v>53700</v>
          </cell>
          <cell r="V837">
            <v>35125</v>
          </cell>
          <cell r="W837">
            <v>43733.96</v>
          </cell>
          <cell r="X837">
            <v>36918.932999999997</v>
          </cell>
          <cell r="Y837">
            <v>44299.928999999996</v>
          </cell>
          <cell r="Z837">
            <v>62414.982000000004</v>
          </cell>
          <cell r="AA837">
            <v>57643.458000000006</v>
          </cell>
          <cell r="AB837">
            <v>72713.548999999999</v>
          </cell>
          <cell r="AC837">
            <v>60734.378999999994</v>
          </cell>
          <cell r="AD837">
            <v>82866.361000000004</v>
          </cell>
          <cell r="AE837">
            <v>83281.993999999992</v>
          </cell>
          <cell r="AF837">
            <v>94321.212</v>
          </cell>
          <cell r="AG837">
            <v>86935.692999999999</v>
          </cell>
          <cell r="AH837">
            <v>119070.155</v>
          </cell>
          <cell r="AI837">
            <v>104889.342</v>
          </cell>
        </row>
        <row r="838">
          <cell r="A838" t="str">
            <v>BeloppHushållsexp</v>
          </cell>
          <cell r="C838" t="str">
            <v>varav exponeringar mot hushåll (riskvikt 75 %)</v>
          </cell>
          <cell r="L838">
            <v>162781</v>
          </cell>
          <cell r="M838">
            <v>155545</v>
          </cell>
          <cell r="N838">
            <v>215799</v>
          </cell>
          <cell r="O838">
            <v>168535.296</v>
          </cell>
          <cell r="P838">
            <v>172365</v>
          </cell>
          <cell r="Q838">
            <v>184000</v>
          </cell>
          <cell r="R838">
            <v>174000</v>
          </cell>
          <cell r="S838">
            <v>169000</v>
          </cell>
          <cell r="T838">
            <v>175000</v>
          </cell>
          <cell r="U838">
            <v>168000</v>
          </cell>
          <cell r="V838">
            <v>186939</v>
          </cell>
          <cell r="W838">
            <v>193918.39499999999</v>
          </cell>
          <cell r="X838">
            <v>160840.07800000001</v>
          </cell>
          <cell r="Y838">
            <v>175075.139</v>
          </cell>
          <cell r="Z838">
            <v>202960.652</v>
          </cell>
          <cell r="AA838">
            <v>228029.21299999999</v>
          </cell>
          <cell r="AB838">
            <v>310189.223</v>
          </cell>
          <cell r="AC838">
            <v>167682.70300000001</v>
          </cell>
          <cell r="AD838">
            <v>240767.83299999998</v>
          </cell>
          <cell r="AE838">
            <v>324969.35600000003</v>
          </cell>
          <cell r="AF838">
            <v>306098.22899999999</v>
          </cell>
          <cell r="AG838">
            <v>346313.51</v>
          </cell>
          <cell r="AH838">
            <v>626939.24699999997</v>
          </cell>
          <cell r="AI838">
            <v>479163.27500000002</v>
          </cell>
        </row>
        <row r="839">
          <cell r="A839" t="str">
            <v>BeloppExpFastighet</v>
          </cell>
          <cell r="C839" t="str">
            <v>varav exponeringar säkrade genom panträtt i fastigheter (riskvikt 35 %)</v>
          </cell>
          <cell r="L839">
            <v>951545</v>
          </cell>
          <cell r="M839">
            <v>1009772</v>
          </cell>
          <cell r="N839">
            <v>1057475</v>
          </cell>
          <cell r="O839">
            <v>1258676.1054</v>
          </cell>
          <cell r="P839">
            <v>1419698.35</v>
          </cell>
          <cell r="Q839">
            <v>1561000</v>
          </cell>
          <cell r="R839">
            <v>1630000</v>
          </cell>
          <cell r="S839">
            <v>1748000</v>
          </cell>
          <cell r="T839">
            <v>1850000</v>
          </cell>
          <cell r="U839">
            <v>1920000</v>
          </cell>
          <cell r="V839">
            <v>1977777.55</v>
          </cell>
          <cell r="W839">
            <v>2014925.317</v>
          </cell>
          <cell r="X839">
            <v>2092497.9439999999</v>
          </cell>
          <cell r="Y839">
            <v>2198374.9210000001</v>
          </cell>
          <cell r="Z839">
            <v>2375983.406</v>
          </cell>
          <cell r="AA839">
            <v>2553620.142</v>
          </cell>
          <cell r="AB839">
            <v>2808880.2930000001</v>
          </cell>
          <cell r="AC839">
            <v>2961736.5550000002</v>
          </cell>
          <cell r="AD839">
            <v>3036563.8090000004</v>
          </cell>
          <cell r="AE839">
            <v>3111596.8710000003</v>
          </cell>
          <cell r="AF839">
            <v>3272009.76</v>
          </cell>
          <cell r="AG839">
            <v>3378946.4699999997</v>
          </cell>
          <cell r="AH839">
            <v>3444847.1119999997</v>
          </cell>
          <cell r="AI839">
            <v>3497367.3050000002</v>
          </cell>
        </row>
        <row r="840">
          <cell r="A840" t="str">
            <v>BeloppFallExp</v>
          </cell>
          <cell r="C840" t="str">
            <v>varav fallerande exponeringar (riskvikt 100%/150%)</v>
          </cell>
          <cell r="AB840">
            <v>0</v>
          </cell>
          <cell r="AC840">
            <v>0</v>
          </cell>
          <cell r="AD840">
            <v>7030.5810000000001</v>
          </cell>
          <cell r="AE840">
            <v>6715.16</v>
          </cell>
          <cell r="AF840">
            <v>5532.41</v>
          </cell>
          <cell r="AG840">
            <v>11270.638999999999</v>
          </cell>
          <cell r="AH840">
            <v>449.10699999999997</v>
          </cell>
          <cell r="AI840">
            <v>2870.3040000000001</v>
          </cell>
        </row>
        <row r="841">
          <cell r="A841" t="str">
            <v>BeloppSäkObl</v>
          </cell>
          <cell r="C841" t="str">
            <v>varav exponeringar i form av säkerställda obligationer (riskvikt 10 %)</v>
          </cell>
          <cell r="L841">
            <v>1103414</v>
          </cell>
          <cell r="M841">
            <v>1212697</v>
          </cell>
          <cell r="N841">
            <v>1313267</v>
          </cell>
          <cell r="O841">
            <v>1282444.5027000001</v>
          </cell>
          <cell r="P841">
            <v>1276083.3</v>
          </cell>
          <cell r="Q841">
            <v>1207000</v>
          </cell>
          <cell r="R841">
            <v>1341000</v>
          </cell>
          <cell r="S841">
            <v>1465000</v>
          </cell>
          <cell r="T841">
            <v>1397000</v>
          </cell>
          <cell r="U841">
            <v>1466000</v>
          </cell>
          <cell r="V841">
            <v>1472503</v>
          </cell>
          <cell r="W841">
            <v>1645151.2420000001</v>
          </cell>
          <cell r="X841">
            <v>1642995.5179999999</v>
          </cell>
          <cell r="Y841">
            <v>1866365.872</v>
          </cell>
          <cell r="Z841">
            <v>1985859.395</v>
          </cell>
          <cell r="AA841">
            <v>1902585.4939999999</v>
          </cell>
          <cell r="AB841">
            <v>1878500.8969999999</v>
          </cell>
          <cell r="AC841">
            <v>2364543.3630000004</v>
          </cell>
          <cell r="AD841">
            <v>2481701.6629999997</v>
          </cell>
          <cell r="AE841">
            <v>2481272.923</v>
          </cell>
          <cell r="AF841">
            <v>2474972.801</v>
          </cell>
          <cell r="AG841">
            <v>2431304.4709999999</v>
          </cell>
          <cell r="AH841">
            <v>2363366.5350000001</v>
          </cell>
          <cell r="AI841">
            <v>2573035.69</v>
          </cell>
        </row>
        <row r="842">
          <cell r="A842" t="str">
            <v>BeloppAktier</v>
          </cell>
          <cell r="C842" t="str">
            <v>varav aktieexponeringar (riskvikt 250 %)</v>
          </cell>
          <cell r="T842">
            <v>52000</v>
          </cell>
          <cell r="U842">
            <v>149000</v>
          </cell>
          <cell r="V842">
            <v>151187.5</v>
          </cell>
          <cell r="W842">
            <v>163688.005</v>
          </cell>
          <cell r="X842">
            <v>291066.29800000001</v>
          </cell>
          <cell r="Y842">
            <v>295548.63500000001</v>
          </cell>
          <cell r="Z842">
            <v>296314.788</v>
          </cell>
          <cell r="AA842">
            <v>357560.60800000001</v>
          </cell>
          <cell r="AB842">
            <v>353457.82300000003</v>
          </cell>
          <cell r="AC842">
            <v>350730.6</v>
          </cell>
          <cell r="AD842">
            <v>352036.11499999999</v>
          </cell>
          <cell r="AE842">
            <v>350647.93</v>
          </cell>
          <cell r="AF842">
            <v>613960.57499999995</v>
          </cell>
          <cell r="AG842">
            <v>610064.24</v>
          </cell>
          <cell r="AH842">
            <v>663848.53799999994</v>
          </cell>
          <cell r="AI842">
            <v>688765.69500000007</v>
          </cell>
        </row>
        <row r="843">
          <cell r="A843" t="str">
            <v>BeloppÖvrPost</v>
          </cell>
          <cell r="C843" t="str">
            <v>varav övriga poster (riskvikt 100 %)</v>
          </cell>
          <cell r="L843">
            <v>344771</v>
          </cell>
          <cell r="M843">
            <v>200948</v>
          </cell>
          <cell r="N843">
            <v>203645</v>
          </cell>
          <cell r="O843">
            <v>215843.878</v>
          </cell>
          <cell r="P843">
            <v>224083</v>
          </cell>
          <cell r="Q843">
            <v>247000</v>
          </cell>
          <cell r="R843">
            <v>248000</v>
          </cell>
          <cell r="S843">
            <v>316000</v>
          </cell>
          <cell r="T843">
            <v>354000</v>
          </cell>
          <cell r="U843">
            <v>313000</v>
          </cell>
          <cell r="V843">
            <v>453494</v>
          </cell>
          <cell r="W843">
            <v>359700.25599999999</v>
          </cell>
          <cell r="X843">
            <v>389380.22499999998</v>
          </cell>
          <cell r="Y843">
            <v>497863.26199999999</v>
          </cell>
          <cell r="Z843">
            <v>533292.16399999999</v>
          </cell>
          <cell r="AA843">
            <v>441884.19499999995</v>
          </cell>
          <cell r="AB843">
            <v>756025.81599999999</v>
          </cell>
          <cell r="AC843">
            <v>418419.69400000002</v>
          </cell>
          <cell r="AD843">
            <v>645120.87799999991</v>
          </cell>
          <cell r="AE843">
            <v>549246.46299999999</v>
          </cell>
          <cell r="AF843">
            <v>753702.45600000001</v>
          </cell>
          <cell r="AG843">
            <v>714232.11200000008</v>
          </cell>
          <cell r="AH843">
            <v>937067.576</v>
          </cell>
          <cell r="AI843">
            <v>906048.11</v>
          </cell>
        </row>
        <row r="844">
          <cell r="A844" t="str">
            <v>BeloppMotpartsrisk</v>
          </cell>
          <cell r="C844" t="str">
            <v>Motpartsrisk</v>
          </cell>
        </row>
        <row r="845">
          <cell r="A845" t="str">
            <v>BeloppMarknadsrisk</v>
          </cell>
          <cell r="C845" t="str">
            <v>Marknadsrisk (positionsrisk)</v>
          </cell>
          <cell r="L845">
            <v>499</v>
          </cell>
          <cell r="M845">
            <v>503</v>
          </cell>
          <cell r="N845">
            <v>8000</v>
          </cell>
          <cell r="O845">
            <v>11220</v>
          </cell>
          <cell r="P845">
            <v>10600</v>
          </cell>
          <cell r="Q845">
            <v>22000</v>
          </cell>
          <cell r="R845">
            <v>37000</v>
          </cell>
          <cell r="S845">
            <v>37000</v>
          </cell>
          <cell r="T845">
            <v>3000</v>
          </cell>
          <cell r="U845">
            <v>1000</v>
          </cell>
          <cell r="V845">
            <v>720</v>
          </cell>
          <cell r="W845">
            <v>1268.9749999999999</v>
          </cell>
          <cell r="X845">
            <v>1045.7</v>
          </cell>
          <cell r="Y845">
            <v>681.625</v>
          </cell>
          <cell r="Z845">
            <v>2068.1999999999998</v>
          </cell>
          <cell r="AA845">
            <v>3259.5</v>
          </cell>
          <cell r="AB845">
            <v>171.7</v>
          </cell>
          <cell r="AC845">
            <v>503.67500000000001</v>
          </cell>
          <cell r="AD845">
            <v>152.85000000000002</v>
          </cell>
          <cell r="AE845">
            <v>17.75</v>
          </cell>
          <cell r="AF845">
            <v>13761.25</v>
          </cell>
          <cell r="AG845">
            <v>340.375</v>
          </cell>
          <cell r="AH845">
            <v>2720.0250000000001</v>
          </cell>
          <cell r="AI845">
            <v>175.85</v>
          </cell>
        </row>
        <row r="846">
          <cell r="A846" t="str">
            <v>BeloppAvvecklingsrisk</v>
          </cell>
          <cell r="C846" t="str">
            <v>Avvecklingsrisk</v>
          </cell>
          <cell r="L846">
            <v>3</v>
          </cell>
          <cell r="M846">
            <v>5</v>
          </cell>
          <cell r="N846">
            <v>1</v>
          </cell>
          <cell r="O846">
            <v>1.0680000000000001</v>
          </cell>
          <cell r="P846">
            <v>1</v>
          </cell>
          <cell r="Q846">
            <v>1</v>
          </cell>
          <cell r="R846">
            <v>1</v>
          </cell>
          <cell r="S846">
            <v>1</v>
          </cell>
          <cell r="T846">
            <v>1</v>
          </cell>
          <cell r="U846">
            <v>1</v>
          </cell>
          <cell r="V846">
            <v>248.07499999999999</v>
          </cell>
          <cell r="W846">
            <v>1</v>
          </cell>
          <cell r="X846">
            <v>2553.3000000000002</v>
          </cell>
          <cell r="Y846">
            <v>666.41300000000001</v>
          </cell>
          <cell r="Z846">
            <v>425.28800000000001</v>
          </cell>
          <cell r="AA846">
            <v>80.412999999999997</v>
          </cell>
          <cell r="AB846">
            <v>1822.5129999999999</v>
          </cell>
          <cell r="AC846">
            <v>36.75</v>
          </cell>
          <cell r="AD846">
            <v>8.125</v>
          </cell>
          <cell r="AE846">
            <v>239.625</v>
          </cell>
          <cell r="AF846">
            <v>366.72500000000002</v>
          </cell>
          <cell r="AG846">
            <v>1226.4749999999999</v>
          </cell>
          <cell r="AH846">
            <v>3.4499999999999997</v>
          </cell>
          <cell r="AI846">
            <v>252.41300000000001</v>
          </cell>
        </row>
        <row r="847">
          <cell r="A847" t="str">
            <v>BeloppKVJR</v>
          </cell>
          <cell r="C847" t="str">
            <v>Kreditvärdighetsjusteringsrisk enligt schablonmetoden</v>
          </cell>
          <cell r="X847">
            <v>0</v>
          </cell>
          <cell r="AB847">
            <v>0</v>
          </cell>
          <cell r="AC847">
            <v>0</v>
          </cell>
          <cell r="AD847">
            <v>80.388000000000005</v>
          </cell>
          <cell r="AE847">
            <v>0.55000000000000004</v>
          </cell>
          <cell r="AF847">
            <v>0.48799999999999999</v>
          </cell>
          <cell r="AG847">
            <v>0.98799999999999999</v>
          </cell>
          <cell r="AH847">
            <v>0</v>
          </cell>
          <cell r="AI847">
            <v>0</v>
          </cell>
        </row>
        <row r="848">
          <cell r="A848" t="str">
            <v>BeloppOperativRisk</v>
          </cell>
          <cell r="C848" t="str">
            <v>Operativ risk enligt schablonmetoden</v>
          </cell>
          <cell r="L848">
            <v>994781</v>
          </cell>
          <cell r="M848">
            <v>994781</v>
          </cell>
          <cell r="N848">
            <v>994781</v>
          </cell>
          <cell r="O848">
            <v>994781</v>
          </cell>
          <cell r="P848">
            <v>1162486.875</v>
          </cell>
          <cell r="Q848">
            <v>1162000</v>
          </cell>
          <cell r="R848">
            <v>1162000</v>
          </cell>
          <cell r="S848">
            <v>1162000</v>
          </cell>
          <cell r="T848">
            <v>1410100</v>
          </cell>
          <cell r="U848">
            <v>1410000</v>
          </cell>
          <cell r="V848">
            <v>1410316.875</v>
          </cell>
          <cell r="W848">
            <v>1410316.875</v>
          </cell>
          <cell r="X848">
            <v>1598605.9129999999</v>
          </cell>
          <cell r="Y848">
            <v>1598605.9129999999</v>
          </cell>
          <cell r="Z848">
            <v>1598605.9129999999</v>
          </cell>
          <cell r="AA848">
            <v>1598605.9130000002</v>
          </cell>
          <cell r="AB848">
            <v>1835677.013</v>
          </cell>
          <cell r="AC848">
            <v>1448536.0379999999</v>
          </cell>
          <cell r="AD848">
            <v>1448536.0379999999</v>
          </cell>
          <cell r="AE848">
            <v>1448536.0379999999</v>
          </cell>
          <cell r="AF848">
            <v>1972537.575</v>
          </cell>
          <cell r="AG848">
            <v>1972537.575</v>
          </cell>
          <cell r="AH848">
            <v>1972537.575</v>
          </cell>
          <cell r="AI848">
            <v>1972537.575</v>
          </cell>
        </row>
        <row r="849">
          <cell r="A849" t="str">
            <v>TotRiskvExpBel</v>
          </cell>
          <cell r="C849" t="str">
            <v>Totala riskvägda exponeringsbelopp</v>
          </cell>
          <cell r="E849">
            <v>0</v>
          </cell>
          <cell r="F849">
            <v>0</v>
          </cell>
          <cell r="G849">
            <v>0</v>
          </cell>
          <cell r="H849">
            <v>0</v>
          </cell>
          <cell r="I849">
            <v>0</v>
          </cell>
          <cell r="J849">
            <v>0</v>
          </cell>
          <cell r="K849">
            <v>0</v>
          </cell>
          <cell r="L849">
            <v>3924897</v>
          </cell>
          <cell r="M849">
            <v>4156713</v>
          </cell>
          <cell r="N849">
            <v>4673572</v>
          </cell>
          <cell r="O849">
            <v>4345509.4581000004</v>
          </cell>
          <cell r="P849">
            <v>4609431.9249999998</v>
          </cell>
          <cell r="Q849">
            <v>4815001</v>
          </cell>
          <cell r="R849">
            <v>4969001</v>
          </cell>
          <cell r="S849">
            <v>5247601</v>
          </cell>
          <cell r="T849">
            <v>5640501</v>
          </cell>
          <cell r="U849">
            <v>5904401</v>
          </cell>
          <cell r="V849">
            <v>6058034.2000000002</v>
          </cell>
          <cell r="W849">
            <v>6236013.584999999</v>
          </cell>
          <cell r="X849">
            <v>6397640.8130000001</v>
          </cell>
          <cell r="Y849">
            <v>7194586.8569999989</v>
          </cell>
          <cell r="Z849">
            <v>7503800.7329999991</v>
          </cell>
          <cell r="AA849">
            <v>7636171.0669999998</v>
          </cell>
          <cell r="AB849">
            <v>8367467.5240000002</v>
          </cell>
          <cell r="AC849">
            <v>8109132.9110000003</v>
          </cell>
          <cell r="AD849">
            <v>8663236.6150000002</v>
          </cell>
          <cell r="AE849">
            <v>8525338.7749999985</v>
          </cell>
          <cell r="AF849">
            <v>9956978.4920000006</v>
          </cell>
          <cell r="AG849">
            <v>10096481.504999999</v>
          </cell>
          <cell r="AH849">
            <v>10598263.935999999</v>
          </cell>
          <cell r="AI849">
            <v>10703188.967999998</v>
          </cell>
        </row>
        <row r="851">
          <cell r="C851" t="str">
            <v>Kapitalkrav</v>
          </cell>
        </row>
        <row r="852">
          <cell r="A852" t="str">
            <v>KravKreditrisk</v>
          </cell>
          <cell r="C852" t="str">
            <v>Kreditrisk enligt schablonmetoden</v>
          </cell>
          <cell r="L852">
            <v>234289.25060800003</v>
          </cell>
          <cell r="M852">
            <v>252913.94153200003</v>
          </cell>
          <cell r="N852">
            <v>293663</v>
          </cell>
          <cell r="O852">
            <v>267142.98749600002</v>
          </cell>
          <cell r="P852">
            <v>274907.52399999998</v>
          </cell>
          <cell r="Q852">
            <v>290000</v>
          </cell>
          <cell r="R852">
            <v>302000</v>
          </cell>
          <cell r="S852">
            <v>324000</v>
          </cell>
          <cell r="T852">
            <v>338000</v>
          </cell>
          <cell r="U852">
            <v>359200</v>
          </cell>
          <cell r="V852">
            <v>371739.94</v>
          </cell>
          <cell r="W852">
            <v>386000</v>
          </cell>
          <cell r="X852">
            <v>383634.87200000009</v>
          </cell>
          <cell r="Y852">
            <v>447570.63247999997</v>
          </cell>
          <cell r="Z852">
            <v>472216.10655999999</v>
          </cell>
          <cell r="AA852">
            <v>482738.01928000001</v>
          </cell>
          <cell r="AB852">
            <v>522383.70383999997</v>
          </cell>
          <cell r="AC852">
            <v>532804.51583999989</v>
          </cell>
          <cell r="AD852">
            <v>577156.73712000006</v>
          </cell>
          <cell r="AE852">
            <v>566123.58496000001</v>
          </cell>
          <cell r="AF852">
            <v>637624.99632000003</v>
          </cell>
          <cell r="AG852">
            <v>649790.08736</v>
          </cell>
          <cell r="AH852">
            <v>689840.23088000005</v>
          </cell>
          <cell r="AI852">
            <v>698417.85040000011</v>
          </cell>
        </row>
        <row r="853">
          <cell r="A853" t="str">
            <v>kravInstitutsexp</v>
          </cell>
          <cell r="C853" t="str">
            <v>varav exponeringar mot institut (riskvikt 20 %)</v>
          </cell>
          <cell r="AB853">
            <v>28002.295760000001</v>
          </cell>
          <cell r="AC853">
            <v>26896.732320000003</v>
          </cell>
          <cell r="AD853">
            <v>29469.757920000004</v>
          </cell>
          <cell r="AE853">
            <v>13505.129199999999</v>
          </cell>
          <cell r="AF853">
            <v>35977.200879999997</v>
          </cell>
          <cell r="AG853">
            <v>43464.716560000001</v>
          </cell>
          <cell r="AH853">
            <v>37393.169280000002</v>
          </cell>
          <cell r="AI853">
            <v>38246.672720000002</v>
          </cell>
        </row>
        <row r="854">
          <cell r="A854" t="str">
            <v>kravFöretagsexp</v>
          </cell>
          <cell r="C854" t="str">
            <v>varav exponeringar mot företag (riskvikt 100 %)</v>
          </cell>
          <cell r="AB854">
            <v>5817.08392</v>
          </cell>
          <cell r="AC854">
            <v>4858.7503199999992</v>
          </cell>
          <cell r="AD854">
            <v>6629.3088799999996</v>
          </cell>
          <cell r="AE854">
            <v>6662.5595200000007</v>
          </cell>
          <cell r="AF854">
            <v>7545.6969600000011</v>
          </cell>
          <cell r="AG854">
            <v>6954.8554400000003</v>
          </cell>
          <cell r="AH854">
            <v>9525.6124</v>
          </cell>
          <cell r="AI854">
            <v>8391.147359999999</v>
          </cell>
        </row>
        <row r="855">
          <cell r="A855" t="str">
            <v>kravHushållsexp</v>
          </cell>
          <cell r="C855" t="str">
            <v>varav exponeringar mot hushåll (riskvikt 75 %)</v>
          </cell>
          <cell r="AB855">
            <v>24815.137840000003</v>
          </cell>
          <cell r="AC855">
            <v>13414.616240000001</v>
          </cell>
          <cell r="AD855">
            <v>19261.426640000001</v>
          </cell>
          <cell r="AE855">
            <v>25997.548480000001</v>
          </cell>
          <cell r="AF855">
            <v>24487.858319999999</v>
          </cell>
          <cell r="AG855">
            <v>27705.0808</v>
          </cell>
          <cell r="AH855">
            <v>50155.139760000005</v>
          </cell>
          <cell r="AI855">
            <v>38333.061999999998</v>
          </cell>
        </row>
        <row r="856">
          <cell r="A856" t="str">
            <v>kravExpFastighet</v>
          </cell>
          <cell r="C856" t="str">
            <v>varav exponeringar säkrade genom panträtt i fastigheter (riskvikt 35 %)</v>
          </cell>
          <cell r="AB856">
            <v>224710.42344000004</v>
          </cell>
          <cell r="AC856">
            <v>236938.92439999999</v>
          </cell>
          <cell r="AD856">
            <v>242925.10472000003</v>
          </cell>
          <cell r="AE856">
            <v>248927.74968000004</v>
          </cell>
          <cell r="AF856">
            <v>261760.78080000001</v>
          </cell>
          <cell r="AG856">
            <v>270315.71759999997</v>
          </cell>
          <cell r="AH856">
            <v>275587.76896000002</v>
          </cell>
          <cell r="AI856">
            <v>279789.38440000004</v>
          </cell>
        </row>
        <row r="857">
          <cell r="A857" t="str">
            <v>kravFallExp</v>
          </cell>
          <cell r="C857" t="str">
            <v>varav fallerande exponeringar (riskvikt 100%/150%)</v>
          </cell>
          <cell r="AB857">
            <v>0</v>
          </cell>
          <cell r="AC857">
            <v>0</v>
          </cell>
          <cell r="AD857">
            <v>562.44647999999995</v>
          </cell>
          <cell r="AE857">
            <v>537.21280000000002</v>
          </cell>
          <cell r="AF857">
            <v>442.59279999999995</v>
          </cell>
          <cell r="AG857">
            <v>901.65111999999988</v>
          </cell>
          <cell r="AH857">
            <v>35.928559999999997</v>
          </cell>
          <cell r="AI857">
            <v>229.62431999999998</v>
          </cell>
        </row>
        <row r="858">
          <cell r="A858" t="str">
            <v>kravSäkObl</v>
          </cell>
          <cell r="C858" t="str">
            <v>varav exponeringar i form av säkerställda obligationer (riskvikt 10 %)</v>
          </cell>
          <cell r="AB858">
            <v>150280.07175999999</v>
          </cell>
          <cell r="AC858">
            <v>189163.46904000003</v>
          </cell>
          <cell r="AD858">
            <v>198536.13303999999</v>
          </cell>
          <cell r="AE858">
            <v>198501.83384000001</v>
          </cell>
          <cell r="AF858">
            <v>197997.82407999999</v>
          </cell>
          <cell r="AG858">
            <v>194504.35767999999</v>
          </cell>
          <cell r="AH858">
            <v>189069.32280000002</v>
          </cell>
          <cell r="AI858">
            <v>205842.85520000002</v>
          </cell>
        </row>
        <row r="859">
          <cell r="A859" t="str">
            <v>kravAktier</v>
          </cell>
          <cell r="C859" t="str">
            <v>varav aktieexponeringar (riskvikt 250 %)</v>
          </cell>
          <cell r="AB859">
            <v>28276.625840000001</v>
          </cell>
          <cell r="AC859">
            <v>28058.447999999997</v>
          </cell>
          <cell r="AD859">
            <v>28162.889199999998</v>
          </cell>
          <cell r="AE859">
            <v>28051.834399999996</v>
          </cell>
          <cell r="AF859">
            <v>49116.845999999998</v>
          </cell>
          <cell r="AG859">
            <v>48805.139200000005</v>
          </cell>
          <cell r="AH859">
            <v>53107.883040000001</v>
          </cell>
          <cell r="AI859">
            <v>55101.255600000004</v>
          </cell>
        </row>
        <row r="860">
          <cell r="A860" t="str">
            <v>kravÖvrPost</v>
          </cell>
          <cell r="C860" t="str">
            <v>varav övriga poster (riskvikt 100 %)</v>
          </cell>
          <cell r="AB860">
            <v>60482.065280000003</v>
          </cell>
          <cell r="AC860">
            <v>33473.575519999999</v>
          </cell>
          <cell r="AD860">
            <v>51609.670239999999</v>
          </cell>
          <cell r="AE860">
            <v>43939.717039999996</v>
          </cell>
          <cell r="AF860">
            <v>60296.196479999999</v>
          </cell>
          <cell r="AG860">
            <v>57138.568960000004</v>
          </cell>
          <cell r="AH860">
            <v>74965.406080000015</v>
          </cell>
          <cell r="AI860">
            <v>72483.848800000007</v>
          </cell>
        </row>
        <row r="861">
          <cell r="A861" t="str">
            <v>KravMotpartsrisk</v>
          </cell>
          <cell r="C861" t="str">
            <v>Motpartsrisk</v>
          </cell>
        </row>
        <row r="862">
          <cell r="A862" t="str">
            <v>KravMarknadsrisk</v>
          </cell>
          <cell r="C862" t="str">
            <v>Marknadsrisk (positionsrisk)</v>
          </cell>
          <cell r="L862">
            <v>2.9940000000000002</v>
          </cell>
          <cell r="M862">
            <v>0.42599999999999999</v>
          </cell>
          <cell r="N862">
            <v>637</v>
          </cell>
          <cell r="O862">
            <v>896.59104000000002</v>
          </cell>
          <cell r="P862">
            <v>853.28</v>
          </cell>
          <cell r="Q862">
            <v>2000</v>
          </cell>
          <cell r="R862">
            <v>3000</v>
          </cell>
          <cell r="S862">
            <v>3000</v>
          </cell>
          <cell r="T862">
            <v>1</v>
          </cell>
          <cell r="U862">
            <v>1</v>
          </cell>
          <cell r="V862">
            <v>57.6</v>
          </cell>
          <cell r="W862">
            <v>1</v>
          </cell>
          <cell r="X862">
            <v>83.656000000000006</v>
          </cell>
          <cell r="Y862">
            <v>1</v>
          </cell>
          <cell r="Z862">
            <v>165.45599999999999</v>
          </cell>
          <cell r="AA862">
            <v>260.76</v>
          </cell>
          <cell r="AB862">
            <v>13.736000000000001</v>
          </cell>
          <cell r="AC862">
            <v>40.293999999999997</v>
          </cell>
          <cell r="AD862">
            <v>12.228000000000002</v>
          </cell>
          <cell r="AE862">
            <v>1.42</v>
          </cell>
          <cell r="AF862">
            <v>1100.9000000000001</v>
          </cell>
          <cell r="AG862">
            <v>27.23</v>
          </cell>
          <cell r="AH862">
            <v>217.602</v>
          </cell>
          <cell r="AI862">
            <v>14.068000000000001</v>
          </cell>
        </row>
        <row r="863">
          <cell r="A863" t="str">
            <v>KravAvvecklingsrisk</v>
          </cell>
          <cell r="C863" t="str">
            <v>Avvecklingsrisk</v>
          </cell>
          <cell r="L863">
            <v>79.790720000000007</v>
          </cell>
          <cell r="M863">
            <v>80.522559999999999</v>
          </cell>
          <cell r="N863">
            <v>1</v>
          </cell>
          <cell r="O863">
            <v>1.0680000000000001</v>
          </cell>
          <cell r="P863">
            <v>1.0680000000000001</v>
          </cell>
          <cell r="Q863">
            <v>1</v>
          </cell>
          <cell r="R863">
            <v>1</v>
          </cell>
          <cell r="S863">
            <v>1</v>
          </cell>
          <cell r="T863">
            <v>1</v>
          </cell>
          <cell r="U863">
            <v>1</v>
          </cell>
          <cell r="V863">
            <v>19.846</v>
          </cell>
          <cell r="W863">
            <v>1</v>
          </cell>
          <cell r="X863">
            <v>1</v>
          </cell>
          <cell r="Y863">
            <v>1</v>
          </cell>
          <cell r="Z863">
            <v>34.023040000000002</v>
          </cell>
          <cell r="AA863">
            <v>6.4330400000000001</v>
          </cell>
          <cell r="AB863">
            <v>145.80104</v>
          </cell>
          <cell r="AC863">
            <v>2.94</v>
          </cell>
          <cell r="AD863">
            <v>0.65000000000000013</v>
          </cell>
          <cell r="AE863">
            <v>19.169999999999998</v>
          </cell>
          <cell r="AF863">
            <v>29.338000000000005</v>
          </cell>
          <cell r="AG863">
            <v>98.117999999999995</v>
          </cell>
          <cell r="AH863">
            <v>0.27599999999999997</v>
          </cell>
          <cell r="AI863">
            <v>20.19304</v>
          </cell>
        </row>
        <row r="864">
          <cell r="A864" t="str">
            <v>KravKVJR</v>
          </cell>
          <cell r="C864" t="str">
            <v>Kreditvärdighetsjusteringsrisk enligt schablonmetoden</v>
          </cell>
          <cell r="AB864">
            <v>0</v>
          </cell>
          <cell r="AC864">
            <v>0</v>
          </cell>
          <cell r="AD864">
            <v>6.4310399999999994</v>
          </cell>
          <cell r="AE864">
            <v>4.4000000000000004E-2</v>
          </cell>
          <cell r="AF864">
            <v>3.9039999999999998E-2</v>
          </cell>
          <cell r="AG864">
            <v>7.9039999999999999E-2</v>
          </cell>
          <cell r="AH864">
            <v>0</v>
          </cell>
          <cell r="AI864">
            <v>0</v>
          </cell>
        </row>
        <row r="865">
          <cell r="A865" t="str">
            <v>KravOperativrisk</v>
          </cell>
          <cell r="C865" t="str">
            <v>Operativ risk enligt schablonmetoden 1</v>
          </cell>
          <cell r="L865">
            <v>79582.5</v>
          </cell>
          <cell r="M865">
            <v>79582.5</v>
          </cell>
          <cell r="N865">
            <v>79583</v>
          </cell>
          <cell r="O865">
            <v>79582.5</v>
          </cell>
          <cell r="P865">
            <v>92998.95</v>
          </cell>
          <cell r="Q865">
            <v>93000</v>
          </cell>
          <cell r="R865">
            <v>93000</v>
          </cell>
          <cell r="S865">
            <v>93000</v>
          </cell>
          <cell r="T865">
            <v>113000</v>
          </cell>
          <cell r="U865">
            <v>113200</v>
          </cell>
          <cell r="V865">
            <v>112825.35</v>
          </cell>
          <cell r="W865">
            <v>113000</v>
          </cell>
          <cell r="X865">
            <v>127888.473</v>
          </cell>
          <cell r="Y865">
            <v>127888.473</v>
          </cell>
          <cell r="Z865">
            <v>127888.473</v>
          </cell>
          <cell r="AA865">
            <v>127888.473</v>
          </cell>
          <cell r="AB865">
            <v>146854.16104000001</v>
          </cell>
          <cell r="AC865">
            <v>115882.88304</v>
          </cell>
          <cell r="AD865">
            <v>115882.88304</v>
          </cell>
          <cell r="AE865">
            <v>115882.88304</v>
          </cell>
          <cell r="AF865">
            <v>157803.00600000002</v>
          </cell>
          <cell r="AG865">
            <v>157803.00600000002</v>
          </cell>
          <cell r="AH865">
            <v>157803.00600000002</v>
          </cell>
          <cell r="AI865">
            <v>157803.00600000002</v>
          </cell>
        </row>
        <row r="866">
          <cell r="A866" t="str">
            <v>KapitalkravKonSit</v>
          </cell>
          <cell r="C866" t="str">
            <v>Kapitalkrav</v>
          </cell>
          <cell r="E866">
            <v>0</v>
          </cell>
          <cell r="F866">
            <v>0</v>
          </cell>
          <cell r="G866">
            <v>0</v>
          </cell>
          <cell r="H866">
            <v>0</v>
          </cell>
          <cell r="I866">
            <v>0</v>
          </cell>
          <cell r="J866">
            <v>0</v>
          </cell>
          <cell r="K866">
            <v>0</v>
          </cell>
          <cell r="L866">
            <v>313954.53532800003</v>
          </cell>
          <cell r="M866">
            <v>332577.39009200002</v>
          </cell>
          <cell r="N866">
            <v>373884</v>
          </cell>
          <cell r="O866">
            <v>347623.14653600007</v>
          </cell>
          <cell r="P866">
            <v>368760.82200000004</v>
          </cell>
          <cell r="Q866">
            <v>385001</v>
          </cell>
          <cell r="R866">
            <v>398001</v>
          </cell>
          <cell r="S866">
            <v>420001</v>
          </cell>
          <cell r="T866">
            <v>451002</v>
          </cell>
          <cell r="U866">
            <v>472402</v>
          </cell>
          <cell r="V866">
            <v>484642.73600000003</v>
          </cell>
          <cell r="W866">
            <v>499002</v>
          </cell>
          <cell r="X866">
            <v>511608.00100000011</v>
          </cell>
          <cell r="Y866">
            <v>575461.10547999991</v>
          </cell>
          <cell r="Z866">
            <v>600304.05859999999</v>
          </cell>
          <cell r="AA866">
            <v>610893.68531999993</v>
          </cell>
          <cell r="AB866">
            <v>669397.40191999997</v>
          </cell>
          <cell r="AC866">
            <v>648730.63287999982</v>
          </cell>
          <cell r="AD866">
            <v>693058.92920000013</v>
          </cell>
          <cell r="AE866">
            <v>682027.10200000007</v>
          </cell>
          <cell r="AF866">
            <v>796558.27936000004</v>
          </cell>
          <cell r="AG866">
            <v>807718.52040000004</v>
          </cell>
          <cell r="AH866">
            <v>847861.11488000001</v>
          </cell>
          <cell r="AI866">
            <v>856255.11744000018</v>
          </cell>
        </row>
        <row r="868">
          <cell r="C868" t="str">
            <v>Kapitalrelationer och buffertar</v>
          </cell>
        </row>
        <row r="869">
          <cell r="A869" t="str">
            <v>KärnPrimKapRel</v>
          </cell>
          <cell r="C869" t="str">
            <v>Kärnprimärkapitalrelation</v>
          </cell>
          <cell r="L869">
            <v>0.16300000000000001</v>
          </cell>
          <cell r="M869">
            <v>0.159</v>
          </cell>
          <cell r="N869">
            <v>0.152</v>
          </cell>
          <cell r="O869">
            <v>0.17499999999999999</v>
          </cell>
          <cell r="P869">
            <v>0.17899999999999999</v>
          </cell>
          <cell r="Q869">
            <v>0.17100000000000001</v>
          </cell>
          <cell r="R869">
            <v>0.16300000000000001</v>
          </cell>
          <cell r="S869">
            <v>0.16800000000000001</v>
          </cell>
          <cell r="T869">
            <v>0.157</v>
          </cell>
          <cell r="U869">
            <v>0.16300000000000001</v>
          </cell>
          <cell r="V869">
            <v>0.156</v>
          </cell>
          <cell r="W869">
            <v>0.17699999999999999</v>
          </cell>
          <cell r="X869">
            <v>0.17599999999999999</v>
          </cell>
          <cell r="Y869">
            <v>0.16</v>
          </cell>
          <cell r="Z869">
            <v>0.154</v>
          </cell>
          <cell r="AA869">
            <v>0.187</v>
          </cell>
          <cell r="AB869">
            <v>0.16900000000000001</v>
          </cell>
          <cell r="AC869">
            <v>0.17277172804745999</v>
          </cell>
          <cell r="AD869">
            <v>0.162625928692818</v>
          </cell>
          <cell r="AE869">
            <v>0.17939962743592</v>
          </cell>
          <cell r="AI869">
            <v>0.17939962743592</v>
          </cell>
        </row>
        <row r="870">
          <cell r="A870" t="str">
            <v>PrimKapRel</v>
          </cell>
          <cell r="C870" t="str">
            <v>Primärkapitalrelation</v>
          </cell>
          <cell r="L870">
            <v>0.16300000000000001</v>
          </cell>
          <cell r="M870">
            <v>0.159</v>
          </cell>
          <cell r="N870">
            <v>0.152</v>
          </cell>
          <cell r="O870">
            <v>0.17499999999999999</v>
          </cell>
          <cell r="P870">
            <v>0.17899999999999999</v>
          </cell>
          <cell r="Q870">
            <v>0.17100000000000001</v>
          </cell>
          <cell r="R870">
            <v>0.16300000000000001</v>
          </cell>
          <cell r="S870">
            <v>0.16800000000000001</v>
          </cell>
          <cell r="T870">
            <v>0.157</v>
          </cell>
          <cell r="U870">
            <v>0.16300000000000001</v>
          </cell>
          <cell r="V870">
            <v>0.156</v>
          </cell>
          <cell r="W870">
            <v>0.17699999999999999</v>
          </cell>
          <cell r="X870">
            <v>0.17599999999999999</v>
          </cell>
          <cell r="Y870">
            <v>0.16</v>
          </cell>
          <cell r="Z870">
            <v>0.154</v>
          </cell>
          <cell r="AA870">
            <v>0.187</v>
          </cell>
          <cell r="AB870">
            <v>0.16900000000000001</v>
          </cell>
          <cell r="AC870">
            <v>0.17277172804745999</v>
          </cell>
          <cell r="AD870">
            <v>0.162625928692818</v>
          </cell>
          <cell r="AE870">
            <v>0.17939962743592</v>
          </cell>
          <cell r="AI870">
            <v>0.17939962743592</v>
          </cell>
        </row>
        <row r="871">
          <cell r="A871" t="str">
            <v>TotalKapRel</v>
          </cell>
          <cell r="C871" t="str">
            <v>Total kapitalrelation</v>
          </cell>
          <cell r="L871">
            <v>0.183</v>
          </cell>
          <cell r="M871">
            <v>0.17899999999999999</v>
          </cell>
          <cell r="N871">
            <v>0.17199999999999999</v>
          </cell>
          <cell r="O871">
            <v>0.19500000000000001</v>
          </cell>
          <cell r="P871">
            <v>0.19900000000000001</v>
          </cell>
          <cell r="Q871">
            <v>0.191</v>
          </cell>
          <cell r="R871">
            <v>0.183</v>
          </cell>
          <cell r="S871">
            <v>0.187</v>
          </cell>
          <cell r="T871">
            <v>0.17499999999999999</v>
          </cell>
          <cell r="U871">
            <v>0.17599999999999999</v>
          </cell>
          <cell r="V871">
            <v>0.16900000000000001</v>
          </cell>
          <cell r="W871">
            <v>0.189</v>
          </cell>
          <cell r="X871">
            <v>0.188</v>
          </cell>
          <cell r="Y871">
            <v>0.17100000000000001</v>
          </cell>
          <cell r="Z871">
            <v>0.16600000000000001</v>
          </cell>
          <cell r="AA871">
            <v>0.19700000000000001</v>
          </cell>
          <cell r="AB871">
            <v>0.17799999999999999</v>
          </cell>
          <cell r="AC871">
            <v>0.18102317413107699</v>
          </cell>
          <cell r="AD871">
            <v>0.17073876805337601</v>
          </cell>
          <cell r="AE871">
            <v>0.18745998313715101</v>
          </cell>
          <cell r="AI871">
            <v>0.18745998313715101</v>
          </cell>
        </row>
        <row r="873">
          <cell r="A873" t="str">
            <v>KapitalbasKapitalkrav</v>
          </cell>
          <cell r="C873" t="str">
            <v>Kapitalbas i förhållande till kapitalkrav</v>
          </cell>
          <cell r="AB873">
            <v>2.2265576583879905</v>
          </cell>
          <cell r="AC873">
            <v>-0.16455548750038249</v>
          </cell>
          <cell r="AD873">
            <v>-0.14553543089969037</v>
          </cell>
          <cell r="AE873">
            <v>2.3432497889064821</v>
          </cell>
          <cell r="AF873">
            <v>3.0473804866485388</v>
          </cell>
          <cell r="AG873">
            <v>2.984002451901683</v>
          </cell>
          <cell r="AH873">
            <v>3.1218878240154071</v>
          </cell>
          <cell r="AI873">
            <v>3.2691704130996331</v>
          </cell>
        </row>
        <row r="875">
          <cell r="A875" t="str">
            <v>KärnPrimKapKrav</v>
          </cell>
          <cell r="C875" t="str">
            <v>Kärnprimärkapitalkrav</v>
          </cell>
          <cell r="X875">
            <v>4.4999999999999998E-2</v>
          </cell>
          <cell r="Y875">
            <v>4.4999999999999998E-2</v>
          </cell>
          <cell r="Z875">
            <v>4.4999999999999998E-2</v>
          </cell>
          <cell r="AA875">
            <v>4.4999999999999998E-2</v>
          </cell>
          <cell r="AB875">
            <v>4.4999999999999998E-2</v>
          </cell>
          <cell r="AC875">
            <v>4.4999999999999998E-2</v>
          </cell>
          <cell r="AD875">
            <v>4.4999999999999998E-2</v>
          </cell>
          <cell r="AE875">
            <v>4.4999999999999998E-2</v>
          </cell>
          <cell r="AI875">
            <v>4.4999999999999998E-2</v>
          </cell>
        </row>
        <row r="876">
          <cell r="A876" t="str">
            <v>ÖvrPrimKapKrav</v>
          </cell>
          <cell r="C876" t="str">
            <v>Övrigt primärkapital</v>
          </cell>
          <cell r="X876">
            <v>1.4999999999999999E-2</v>
          </cell>
          <cell r="Y876">
            <v>1.4999999999999999E-2</v>
          </cell>
          <cell r="Z876">
            <v>1.4999999999999999E-2</v>
          </cell>
          <cell r="AA876">
            <v>1.4999999999999999E-2</v>
          </cell>
          <cell r="AB876">
            <v>1.4999999999999999E-2</v>
          </cell>
          <cell r="AC876">
            <v>1.4999999999999999E-2</v>
          </cell>
          <cell r="AD876">
            <v>1.4999999999999999E-2</v>
          </cell>
          <cell r="AE876">
            <v>1.4999999999999999E-2</v>
          </cell>
          <cell r="AI876">
            <v>1.4999999999999999E-2</v>
          </cell>
        </row>
        <row r="877">
          <cell r="A877" t="str">
            <v>PrimKapKrav</v>
          </cell>
          <cell r="C877" t="str">
            <v>Primärkapitalkrav</v>
          </cell>
          <cell r="X877">
            <v>0.06</v>
          </cell>
          <cell r="Y877">
            <v>0.06</v>
          </cell>
          <cell r="Z877">
            <v>0.06</v>
          </cell>
          <cell r="AA877">
            <v>0.06</v>
          </cell>
          <cell r="AB877">
            <v>0.06</v>
          </cell>
          <cell r="AC877">
            <v>0.06</v>
          </cell>
          <cell r="AD877">
            <v>0.06</v>
          </cell>
          <cell r="AE877">
            <v>0.06</v>
          </cell>
          <cell r="AF877">
            <v>0</v>
          </cell>
          <cell r="AG877">
            <v>0</v>
          </cell>
          <cell r="AH877">
            <v>0</v>
          </cell>
          <cell r="AI877">
            <v>0.06</v>
          </cell>
        </row>
        <row r="878">
          <cell r="A878" t="str">
            <v>SuppKapKrav</v>
          </cell>
          <cell r="C878" t="str">
            <v>Supplementärkapital</v>
          </cell>
          <cell r="X878">
            <v>0.02</v>
          </cell>
          <cell r="Y878">
            <v>0.02</v>
          </cell>
          <cell r="Z878">
            <v>0.02</v>
          </cell>
          <cell r="AA878">
            <v>0.02</v>
          </cell>
          <cell r="AB878">
            <v>0.02</v>
          </cell>
          <cell r="AC878">
            <v>0.02</v>
          </cell>
          <cell r="AD878">
            <v>0.02</v>
          </cell>
          <cell r="AE878">
            <v>0.02</v>
          </cell>
          <cell r="AI878">
            <v>0.02</v>
          </cell>
        </row>
        <row r="879">
          <cell r="A879" t="str">
            <v>TotMinKapKrav</v>
          </cell>
          <cell r="C879" t="str">
            <v>Totalt minimikapitalkrav</v>
          </cell>
          <cell r="X879">
            <v>0.08</v>
          </cell>
          <cell r="Y879">
            <v>0.08</v>
          </cell>
          <cell r="Z879">
            <v>0.08</v>
          </cell>
          <cell r="AA879">
            <v>0.08</v>
          </cell>
          <cell r="AB879">
            <v>0.08</v>
          </cell>
          <cell r="AC879">
            <v>0.08</v>
          </cell>
          <cell r="AD879">
            <v>0.08</v>
          </cell>
          <cell r="AE879">
            <v>0.08</v>
          </cell>
          <cell r="AF879">
            <v>0</v>
          </cell>
          <cell r="AG879">
            <v>0</v>
          </cell>
          <cell r="AH879">
            <v>0</v>
          </cell>
          <cell r="AI879">
            <v>0.08</v>
          </cell>
        </row>
        <row r="881">
          <cell r="A881" t="str">
            <v>InstBuffertkrav</v>
          </cell>
          <cell r="C881" t="str">
            <v>Institutsspecifika buffertkrav, %</v>
          </cell>
          <cell r="L881">
            <v>3.5000000000000003E-2</v>
          </cell>
          <cell r="M881">
            <v>3.5000000000000003E-2</v>
          </cell>
          <cell r="N881">
            <v>0.04</v>
          </cell>
          <cell r="O881">
            <v>0.04</v>
          </cell>
          <cell r="P881">
            <v>0.04</v>
          </cell>
          <cell r="Q881">
            <v>4.4999999999999998E-2</v>
          </cell>
          <cell r="R881">
            <v>4.4999999999999998E-2</v>
          </cell>
          <cell r="S881">
            <v>4.4999999999999998E-2</v>
          </cell>
          <cell r="T881">
            <v>4.4999999999999998E-2</v>
          </cell>
          <cell r="U881">
            <v>4.4999999999999998E-2</v>
          </cell>
          <cell r="V881">
            <v>4.4999999999999998E-2</v>
          </cell>
          <cell r="W881">
            <v>4.4999999999999998E-2</v>
          </cell>
          <cell r="X881">
            <v>4.4999999999999998E-2</v>
          </cell>
          <cell r="Y881">
            <v>4.4999999999999998E-2</v>
          </cell>
          <cell r="Z881">
            <v>4.4999999999999998E-2</v>
          </cell>
          <cell r="AA881">
            <v>0.05</v>
          </cell>
          <cell r="AB881">
            <v>0.05</v>
          </cell>
          <cell r="AC881">
            <v>2.5000000000000001E-2</v>
          </cell>
          <cell r="AD881">
            <v>2.5000000000000001E-2</v>
          </cell>
          <cell r="AE881">
            <v>2.5000000000000001E-2</v>
          </cell>
          <cell r="AF881">
            <v>2.5000000000000001E-2</v>
          </cell>
          <cell r="AG881">
            <v>2.5000000000000001E-2</v>
          </cell>
          <cell r="AH881">
            <v>2.5000000000000001E-2</v>
          </cell>
          <cell r="AI881">
            <v>2.5000000000000001E-2</v>
          </cell>
        </row>
        <row r="882">
          <cell r="A882" t="str">
            <v>Gammal-KravKapKonsBuffert</v>
          </cell>
          <cell r="C882" t="str">
            <v>varav krav på kapitalkonserveringsbuffert, %</v>
          </cell>
          <cell r="L882">
            <v>2.5000000000000001E-2</v>
          </cell>
          <cell r="M882">
            <v>2.5000000000000001E-2</v>
          </cell>
          <cell r="N882">
            <v>2.5000000000000001E-2</v>
          </cell>
          <cell r="O882">
            <v>2.5000000000000001E-2</v>
          </cell>
          <cell r="P882">
            <v>2.5000000000000001E-2</v>
          </cell>
          <cell r="Q882">
            <v>2.5000000000000001E-2</v>
          </cell>
          <cell r="R882">
            <v>2.5000000000000001E-2</v>
          </cell>
          <cell r="S882">
            <v>2.5000000000000001E-2</v>
          </cell>
          <cell r="T882">
            <v>2.5000000000000001E-2</v>
          </cell>
          <cell r="U882">
            <v>2.5000000000000001E-2</v>
          </cell>
          <cell r="V882">
            <v>2.5000000000000001E-2</v>
          </cell>
          <cell r="W882">
            <v>2.5000000000000001E-2</v>
          </cell>
          <cell r="X882">
            <v>2.5000000000000001E-2</v>
          </cell>
          <cell r="Y882">
            <v>2.5000000000000001E-2</v>
          </cell>
          <cell r="Z882">
            <v>2.5000000000000001E-2</v>
          </cell>
          <cell r="AA882">
            <v>2.5000000000000001E-2</v>
          </cell>
          <cell r="AB882">
            <v>2.5000000000000001E-2</v>
          </cell>
          <cell r="AC882">
            <v>2.5000000000000001E-2</v>
          </cell>
          <cell r="AD882">
            <v>2.5000000000000001E-2</v>
          </cell>
          <cell r="AE882">
            <v>2.5000000000000001E-2</v>
          </cell>
          <cell r="AF882">
            <v>2.5000000000000001E-2</v>
          </cell>
          <cell r="AG882">
            <v>2.5000000000000001E-2</v>
          </cell>
          <cell r="AH882">
            <v>2.5000000000000001E-2</v>
          </cell>
          <cell r="AI882">
            <v>2.5000000000000001E-2</v>
          </cell>
        </row>
        <row r="883">
          <cell r="A883" t="str">
            <v>KravKontrcyklBuffert</v>
          </cell>
          <cell r="C883" t="str">
            <v>varav krav på kontracyklisk buffert, %</v>
          </cell>
          <cell r="L883">
            <v>0.01</v>
          </cell>
          <cell r="M883">
            <v>0.01</v>
          </cell>
          <cell r="N883">
            <v>1.4999999999999999E-2</v>
          </cell>
          <cell r="O883">
            <v>1.4999999999999999E-2</v>
          </cell>
          <cell r="P883">
            <v>1.4999999999999999E-2</v>
          </cell>
          <cell r="Q883">
            <v>0.02</v>
          </cell>
          <cell r="R883">
            <v>0.02</v>
          </cell>
          <cell r="S883">
            <v>0.02</v>
          </cell>
          <cell r="T883">
            <v>0.02</v>
          </cell>
          <cell r="U883">
            <v>0.02</v>
          </cell>
          <cell r="V883">
            <v>0.02</v>
          </cell>
          <cell r="W883">
            <v>0.02</v>
          </cell>
          <cell r="X883">
            <v>0.02</v>
          </cell>
          <cell r="Y883">
            <v>0.02</v>
          </cell>
          <cell r="Z883">
            <v>0.02</v>
          </cell>
          <cell r="AA883">
            <v>2.5000000000000001E-2</v>
          </cell>
          <cell r="AB883">
            <v>2.5000000000000001E-2</v>
          </cell>
          <cell r="AC883">
            <v>0</v>
          </cell>
          <cell r="AD883">
            <v>0</v>
          </cell>
          <cell r="AE883">
            <v>0</v>
          </cell>
          <cell r="AF883">
            <v>0</v>
          </cell>
          <cell r="AG883">
            <v>0</v>
          </cell>
          <cell r="AH883">
            <v>0</v>
          </cell>
          <cell r="AI883">
            <v>0</v>
          </cell>
        </row>
        <row r="884">
          <cell r="A884" t="str">
            <v>KapitalkravInklBuffert'</v>
          </cell>
          <cell r="C884" t="str">
            <v>Totalt kapitalkrav inklusive buffertkrav, %</v>
          </cell>
          <cell r="L884">
            <v>0.115</v>
          </cell>
          <cell r="M884">
            <v>0.115</v>
          </cell>
          <cell r="N884">
            <v>0.12</v>
          </cell>
          <cell r="O884">
            <v>0.12</v>
          </cell>
          <cell r="P884">
            <v>0.12</v>
          </cell>
          <cell r="Q884">
            <v>0.125</v>
          </cell>
          <cell r="R884">
            <v>0.125</v>
          </cell>
          <cell r="S884">
            <v>0.125</v>
          </cell>
          <cell r="T884">
            <v>0.125</v>
          </cell>
          <cell r="U884">
            <v>0.125</v>
          </cell>
          <cell r="V884">
            <v>0.125</v>
          </cell>
          <cell r="W884">
            <v>0.125</v>
          </cell>
          <cell r="X884">
            <v>0.125</v>
          </cell>
          <cell r="Y884">
            <v>0.125</v>
          </cell>
          <cell r="Z884">
            <v>0.125</v>
          </cell>
          <cell r="AA884">
            <v>0.13</v>
          </cell>
          <cell r="AB884">
            <v>0.13</v>
          </cell>
          <cell r="AC884">
            <v>0.105</v>
          </cell>
          <cell r="AD884">
            <v>0.105</v>
          </cell>
          <cell r="AE884">
            <v>0.105</v>
          </cell>
          <cell r="AI884">
            <v>0.105</v>
          </cell>
        </row>
        <row r="885">
          <cell r="A885" t="str">
            <v>KärnprimkapBuffertkr</v>
          </cell>
          <cell r="C885" t="str">
            <v>Kärnprimärkapital tillgängligt för buffertkrav, %</v>
          </cell>
          <cell r="L885">
            <v>0.11799999999999999</v>
          </cell>
          <cell r="M885">
            <v>0.114</v>
          </cell>
          <cell r="N885">
            <v>0.107</v>
          </cell>
          <cell r="O885">
            <v>0.13</v>
          </cell>
          <cell r="P885">
            <v>0.13400000000000001</v>
          </cell>
          <cell r="Q885">
            <v>0.126</v>
          </cell>
          <cell r="R885">
            <v>0.11799999999999999</v>
          </cell>
          <cell r="S885">
            <v>0.123</v>
          </cell>
          <cell r="T885">
            <v>0.112</v>
          </cell>
          <cell r="U885">
            <v>0.11799999999999999</v>
          </cell>
          <cell r="V885">
            <v>0.111</v>
          </cell>
          <cell r="W885">
            <v>0.13200000000000001</v>
          </cell>
          <cell r="X885">
            <v>0.13100000000000001</v>
          </cell>
          <cell r="Y885">
            <v>0.115</v>
          </cell>
          <cell r="Z885">
            <v>0.109</v>
          </cell>
          <cell r="AA885">
            <v>0.14199999999999999</v>
          </cell>
          <cell r="AB885">
            <v>0.124</v>
          </cell>
          <cell r="AC885">
            <v>0.12777172804746001</v>
          </cell>
          <cell r="AD885">
            <v>0.117625928692818</v>
          </cell>
          <cell r="AE885">
            <v>0.13439962743591966</v>
          </cell>
          <cell r="AF885">
            <v>0</v>
          </cell>
          <cell r="AG885">
            <v>0.15872019612044</v>
          </cell>
          <cell r="AH885">
            <v>0</v>
          </cell>
          <cell r="AI885">
            <v>0</v>
          </cell>
        </row>
        <row r="886">
          <cell r="A886" t="str">
            <v>Tröskelvärde</v>
          </cell>
          <cell r="C886" t="str">
            <v>Institutets direkta och indriekta innehav av kärnprimärkapitalinstrument i enheter i den finansiella sektorn i vilka institutet har en väsentlig investering (belopp under tröskelvärdet på 10%, netto efter godtagbara korta positioner)</v>
          </cell>
          <cell r="AB886">
            <v>141533.12899999999</v>
          </cell>
          <cell r="AF886">
            <v>245733.87599999999</v>
          </cell>
          <cell r="AG886">
            <v>244171.848</v>
          </cell>
        </row>
        <row r="888">
          <cell r="A888" t="str">
            <v>TotKap</v>
          </cell>
          <cell r="C888" t="str">
            <v>Total kapitalbas</v>
          </cell>
          <cell r="Y888">
            <v>0</v>
          </cell>
          <cell r="Z888">
            <v>0</v>
          </cell>
          <cell r="AA888">
            <v>0</v>
          </cell>
          <cell r="AB888">
            <v>1490451.9117499997</v>
          </cell>
          <cell r="AC888">
            <v>-106752.18555000002</v>
          </cell>
          <cell r="AD888">
            <v>-100864.62990000001</v>
          </cell>
          <cell r="AE888">
            <v>1598159.8627899999</v>
          </cell>
          <cell r="AF888">
            <v>2427416.1569999997</v>
          </cell>
          <cell r="AG888">
            <v>2410234.0453199996</v>
          </cell>
          <cell r="AH888">
            <v>2646927.2910000002</v>
          </cell>
          <cell r="AI888">
            <v>2799243.8960000002</v>
          </cell>
        </row>
        <row r="889">
          <cell r="A889" t="str">
            <v>KapitalkravKonSitNeg</v>
          </cell>
          <cell r="C889" t="str">
            <v>Minimikapitalkrav (8%)</v>
          </cell>
          <cell r="T889">
            <v>451002</v>
          </cell>
          <cell r="U889">
            <v>472402</v>
          </cell>
          <cell r="V889">
            <v>484642.73600000003</v>
          </cell>
          <cell r="W889">
            <v>499002</v>
          </cell>
          <cell r="X889">
            <v>511608.00100000011</v>
          </cell>
          <cell r="Y889">
            <v>575461.10547999991</v>
          </cell>
          <cell r="Z889">
            <v>600304.05859999999</v>
          </cell>
          <cell r="AA889">
            <v>610893.68531999993</v>
          </cell>
          <cell r="AB889">
            <v>669397.40191999997</v>
          </cell>
          <cell r="AC889">
            <v>648730.63287999982</v>
          </cell>
          <cell r="AD889">
            <v>693058.92920000013</v>
          </cell>
          <cell r="AE889">
            <v>682027.10200000007</v>
          </cell>
          <cell r="AF889">
            <v>796558.27936000004</v>
          </cell>
          <cell r="AG889">
            <v>807718.52040000004</v>
          </cell>
          <cell r="AH889">
            <v>847861.11488000001</v>
          </cell>
          <cell r="AI889">
            <v>856255.11744000018</v>
          </cell>
        </row>
        <row r="890">
          <cell r="A890" t="str">
            <v>BuffertkravKonSit</v>
          </cell>
          <cell r="C890" t="str">
            <v>Kombinerade buffertkravet</v>
          </cell>
          <cell r="AB890">
            <v>-418373.3762</v>
          </cell>
          <cell r="AE890">
            <v>213133.46937499999</v>
          </cell>
          <cell r="AF890">
            <v>248924.46229999996</v>
          </cell>
          <cell r="AG890">
            <v>252412.03762499997</v>
          </cell>
          <cell r="AH890">
            <v>264956.59840000002</v>
          </cell>
          <cell r="AI890">
            <v>267579.7242</v>
          </cell>
        </row>
        <row r="891">
          <cell r="A891" t="str">
            <v>TillkPelare2krav</v>
          </cell>
          <cell r="C891" t="str">
            <v>Det särskilda kapitalbaskravet (Pelare 2)</v>
          </cell>
          <cell r="L891">
            <v>-11000</v>
          </cell>
          <cell r="M891">
            <v>-11000</v>
          </cell>
          <cell r="N891">
            <v>-47000</v>
          </cell>
          <cell r="O891">
            <v>-47000</v>
          </cell>
          <cell r="P891">
            <v>-35000</v>
          </cell>
          <cell r="Q891">
            <v>-39000</v>
          </cell>
          <cell r="R891">
            <v>-38700</v>
          </cell>
          <cell r="S891">
            <v>-40000</v>
          </cell>
          <cell r="T891">
            <v>-80800</v>
          </cell>
          <cell r="U891">
            <v>-62300</v>
          </cell>
          <cell r="V891">
            <v>-70196</v>
          </cell>
          <cell r="W891">
            <v>-79309.721999999994</v>
          </cell>
          <cell r="X891">
            <v>-82594.019</v>
          </cell>
          <cell r="Y891">
            <v>-114396.162582256</v>
          </cell>
          <cell r="Z891">
            <v>-119344.53</v>
          </cell>
          <cell r="AA891">
            <v>-114623.886</v>
          </cell>
          <cell r="AB891">
            <v>-119932.644</v>
          </cell>
          <cell r="AE891">
            <v>127599.92</v>
          </cell>
          <cell r="AF891">
            <v>260000</v>
          </cell>
          <cell r="AG891">
            <v>288800.56900000002</v>
          </cell>
          <cell r="AH891">
            <v>260000</v>
          </cell>
          <cell r="AI891">
            <v>260000</v>
          </cell>
        </row>
        <row r="892">
          <cell r="A892" t="str">
            <v>VägledP2</v>
          </cell>
          <cell r="C892" t="str">
            <v>Pelare 2-vägledning</v>
          </cell>
        </row>
        <row r="893">
          <cell r="A893" t="str">
            <v>SummaKravKonSit</v>
          </cell>
          <cell r="C893" t="str">
            <v>Summa riskbaserat kapitalkrav</v>
          </cell>
          <cell r="AB893">
            <v>131091.38171999998</v>
          </cell>
          <cell r="AC893">
            <v>648730.63287999982</v>
          </cell>
          <cell r="AD893">
            <v>693058.92920000013</v>
          </cell>
          <cell r="AE893">
            <v>1022760.4913750001</v>
          </cell>
          <cell r="AF893">
            <v>1305482.7416600001</v>
          </cell>
          <cell r="AG893">
            <v>1348931.1270249998</v>
          </cell>
          <cell r="AH893">
            <v>1372817.71328</v>
          </cell>
          <cell r="AI893">
            <v>1383834.8416400002</v>
          </cell>
        </row>
        <row r="894">
          <cell r="A894" t="str">
            <v>KapÖverskKonSit</v>
          </cell>
          <cell r="C894" t="str">
            <v>Kapitalöverskott efter riskbaserat kapitalkrav</v>
          </cell>
          <cell r="AB894">
            <v>282748.48988000001</v>
          </cell>
          <cell r="AE894">
            <v>575399.37162500003</v>
          </cell>
          <cell r="AF894">
            <v>1121933.415</v>
          </cell>
          <cell r="AG894">
            <v>1061302.9179749999</v>
          </cell>
          <cell r="AH894">
            <v>1274109.5777199999</v>
          </cell>
          <cell r="AI894">
            <v>1415409.05436</v>
          </cell>
        </row>
        <row r="896">
          <cell r="C896" t="str">
            <v>Bruttosoliditet</v>
          </cell>
        </row>
        <row r="897">
          <cell r="A897" t="str">
            <v>TotExpBruttoSolidgrad</v>
          </cell>
          <cell r="C897" t="str">
            <v>Totalt exponeringsmått för bruttosoliditetsgrad</v>
          </cell>
          <cell r="X897">
            <v>36405787.088</v>
          </cell>
          <cell r="Y897">
            <v>39022000</v>
          </cell>
          <cell r="Z897">
            <v>40495590.287</v>
          </cell>
          <cell r="AA897">
            <v>41127994.526000001</v>
          </cell>
          <cell r="AB897">
            <v>40868120.104000002</v>
          </cell>
          <cell r="AC897">
            <v>55899015.943999998</v>
          </cell>
          <cell r="AD897">
            <v>50575359.376999997</v>
          </cell>
          <cell r="AE897">
            <v>49687916.089000002</v>
          </cell>
          <cell r="AF897">
            <v>50031799.365999997</v>
          </cell>
          <cell r="AG897">
            <v>55739695.982999995</v>
          </cell>
          <cell r="AH897">
            <v>56074512.567000002</v>
          </cell>
          <cell r="AI897">
            <v>62363867.853</v>
          </cell>
        </row>
        <row r="898">
          <cell r="A898" t="str">
            <v>Primärkap</v>
          </cell>
          <cell r="C898" t="str">
            <v>Primärkapital</v>
          </cell>
          <cell r="X898">
            <v>1127876.0349999999</v>
          </cell>
          <cell r="Y898">
            <v>1149747.49</v>
          </cell>
          <cell r="Z898">
            <v>1155613.156</v>
          </cell>
          <cell r="AA898">
            <v>1426845.0120000001</v>
          </cell>
          <cell r="AB898">
            <v>1410632.25</v>
          </cell>
          <cell r="AC898">
            <v>1401028.906</v>
          </cell>
          <cell r="AD898">
            <v>1408866.9</v>
          </cell>
          <cell r="AE898">
            <v>1529442.6</v>
          </cell>
          <cell r="AF898">
            <v>2427416.1570000001</v>
          </cell>
          <cell r="AG898">
            <v>2410234.0449999999</v>
          </cell>
          <cell r="AH898">
            <v>2646927.2910000002</v>
          </cell>
          <cell r="AI898">
            <v>2799243.8960000002</v>
          </cell>
        </row>
        <row r="899">
          <cell r="A899" t="str">
            <v>BruttoSolidgrad</v>
          </cell>
          <cell r="C899" t="str">
            <v>Bruttosoliditetsgrad, %</v>
          </cell>
          <cell r="X899">
            <v>3.0980679864816549E-2</v>
          </cell>
          <cell r="Y899">
            <v>2.9464084106401518E-2</v>
          </cell>
          <cell r="Z899">
            <v>2.8536765307282802E-2</v>
          </cell>
          <cell r="AA899">
            <v>3.4692793277289205E-2</v>
          </cell>
          <cell r="AB899">
            <v>3.4516690427899892E-2</v>
          </cell>
          <cell r="AC899">
            <v>2.5063570124446554E-2</v>
          </cell>
          <cell r="AD899">
            <v>2.7856784753579153E-2</v>
          </cell>
          <cell r="AE899">
            <v>3.0780976953440613E-2</v>
          </cell>
          <cell r="AF899">
            <v>4.8517466646414362E-2</v>
          </cell>
          <cell r="AG899">
            <v>4.3240889683630414E-2</v>
          </cell>
          <cell r="AH899">
            <v>4.7203750328410773E-2</v>
          </cell>
          <cell r="AI899">
            <v>4.4885668454660209E-2</v>
          </cell>
        </row>
        <row r="900">
          <cell r="A900" t="str">
            <v>MinimikravPel1</v>
          </cell>
          <cell r="C900" t="str">
            <v>Minimikrav (Pelare 1)</v>
          </cell>
          <cell r="AF900">
            <v>0</v>
          </cell>
          <cell r="AH900">
            <v>1682235.3770099999</v>
          </cell>
          <cell r="AI900">
            <v>1870916.03559</v>
          </cell>
        </row>
        <row r="901">
          <cell r="A901" t="str">
            <v>SärskiltkravP2</v>
          </cell>
          <cell r="C901" t="str">
            <v>Det särskilda kapitalbaskravet (Pelare 2)</v>
          </cell>
        </row>
        <row r="902">
          <cell r="A902" t="str">
            <v>BruttoSolidgradVägl</v>
          </cell>
          <cell r="C902" t="str">
            <v>Bruttosoliditetsvägledning</v>
          </cell>
          <cell r="AH902">
            <v>0</v>
          </cell>
          <cell r="AI902">
            <v>0</v>
          </cell>
        </row>
        <row r="903">
          <cell r="A903" t="str">
            <v>SumBrottosoliditetskrav</v>
          </cell>
          <cell r="C903" t="str">
            <v>Summa bruttosoliditetskrav (total lämplig kapitalbasnivå)</v>
          </cell>
          <cell r="AF903">
            <v>0</v>
          </cell>
          <cell r="AH903">
            <v>1682235.3770099999</v>
          </cell>
          <cell r="AI903">
            <v>1870916.03559</v>
          </cell>
        </row>
        <row r="904">
          <cell r="A904" t="str">
            <v>KapÖverskottEftBruttosoliditetskrav</v>
          </cell>
          <cell r="C904" t="str">
            <v>Kapitalöverskott efter bruttosoliditetskrav</v>
          </cell>
          <cell r="AF904">
            <v>2427416.1570000001</v>
          </cell>
          <cell r="AH904">
            <v>964691.91399000015</v>
          </cell>
          <cell r="AI904">
            <v>928327.86040999996</v>
          </cell>
        </row>
        <row r="907">
          <cell r="C907" t="str">
            <v>Nyckeltal Solo (Bank), MSEK</v>
          </cell>
        </row>
        <row r="908">
          <cell r="C908" t="str">
            <v>Tillgänglig kapitalbas (belopp)</v>
          </cell>
        </row>
        <row r="909">
          <cell r="A909" t="str">
            <v>KärnPrimKapSolo</v>
          </cell>
          <cell r="C909" t="str">
            <v>Kärnprimärkapital</v>
          </cell>
          <cell r="AD909">
            <v>1260475.6440000001</v>
          </cell>
          <cell r="AE909">
            <v>1279191.351</v>
          </cell>
          <cell r="AF909">
            <v>2131997.9910000004</v>
          </cell>
          <cell r="AG909">
            <v>2116241.9850000003</v>
          </cell>
          <cell r="AI909">
            <v>1279191.351</v>
          </cell>
        </row>
        <row r="910">
          <cell r="A910" t="str">
            <v>PrimKapSolo</v>
          </cell>
          <cell r="C910" t="str">
            <v xml:space="preserve">Primärkapital </v>
          </cell>
          <cell r="AD910">
            <v>1260475.6440000001</v>
          </cell>
          <cell r="AE910">
            <v>1279191.351</v>
          </cell>
          <cell r="AF910">
            <v>2131997.9910000004</v>
          </cell>
          <cell r="AG910">
            <v>2116241.9850000003</v>
          </cell>
          <cell r="AI910">
            <v>1279191.351</v>
          </cell>
        </row>
        <row r="911">
          <cell r="A911" t="str">
            <v>TotalKapSolo</v>
          </cell>
          <cell r="C911" t="str">
            <v xml:space="preserve">Totalt kapital </v>
          </cell>
          <cell r="AD911">
            <v>1360390.8690000002</v>
          </cell>
          <cell r="AE911">
            <v>1379157.4410000001</v>
          </cell>
          <cell r="AF911">
            <v>2131997.9910000004</v>
          </cell>
          <cell r="AG911">
            <v>2116241.9850000003</v>
          </cell>
          <cell r="AI911">
            <v>1379157.4410000001</v>
          </cell>
        </row>
        <row r="912">
          <cell r="C912" t="str">
            <v>Riskvägda exponeringsbelopp</v>
          </cell>
        </row>
        <row r="913">
          <cell r="A913" t="str">
            <v>TotRiskvExpBelSolo</v>
          </cell>
          <cell r="C913" t="str">
            <v>Totalt riskvägt exponeringsbelopp</v>
          </cell>
          <cell r="AD913">
            <v>7970050.9380000001</v>
          </cell>
          <cell r="AE913">
            <v>7858784.9340000004</v>
          </cell>
          <cell r="AF913">
            <v>8915055.6500000004</v>
          </cell>
          <cell r="AG913">
            <v>9050128.6909999996</v>
          </cell>
          <cell r="AI913">
            <v>7858784.9340000004</v>
          </cell>
        </row>
        <row r="914">
          <cell r="C914" t="str">
            <v>Kapitalrelationer (som en procentandel av det riskvägda exponeringsbeloppet)</v>
          </cell>
        </row>
        <row r="915">
          <cell r="A915" t="str">
            <v>KärnPrimKapRelSolo</v>
          </cell>
          <cell r="C915" t="str">
            <v>Kärnprimärkapitalrelation (i %)</v>
          </cell>
          <cell r="AD915">
            <v>0.15820000000000001</v>
          </cell>
          <cell r="AE915">
            <v>0.1628</v>
          </cell>
          <cell r="AF915">
            <v>0.23910000000000001</v>
          </cell>
          <cell r="AG915">
            <v>0.23380000000000001</v>
          </cell>
          <cell r="AI915">
            <v>0.1628</v>
          </cell>
        </row>
        <row r="916">
          <cell r="A916" t="str">
            <v>PrimKapRelSolo</v>
          </cell>
          <cell r="C916" t="str">
            <v>Primärkapitalrelation (i %)</v>
          </cell>
          <cell r="AD916">
            <v>0.15820000000000001</v>
          </cell>
          <cell r="AE916">
            <v>0.1628</v>
          </cell>
          <cell r="AF916">
            <v>0.23910000000000001</v>
          </cell>
          <cell r="AG916">
            <v>0.23380000000000001</v>
          </cell>
          <cell r="AI916">
            <v>0.1628</v>
          </cell>
        </row>
        <row r="917">
          <cell r="A917" t="str">
            <v>TotalKapRelSolo</v>
          </cell>
          <cell r="C917" t="str">
            <v>Total kapitalrelation (i %)</v>
          </cell>
          <cell r="AD917">
            <v>0.17069999999999999</v>
          </cell>
          <cell r="AE917">
            <v>0.17549999999999999</v>
          </cell>
          <cell r="AF917">
            <v>0.23910000000000001</v>
          </cell>
          <cell r="AG917">
            <v>0.23380000000000001</v>
          </cell>
          <cell r="AI917">
            <v>0.17549999999999999</v>
          </cell>
        </row>
        <row r="918">
          <cell r="C918" t="str">
            <v>Ytterligare kapitalbaskrav för att hantera andra risker än risken för alltför låg bruttosoliditet (som en procentandel av det riskvägda exponeringsbeloppet)</v>
          </cell>
        </row>
        <row r="919">
          <cell r="A919" t="str">
            <v>YttKapbaskravSolo</v>
          </cell>
          <cell r="C919" t="str">
            <v xml:space="preserve">Ytterligare kapitalbaskrav för att hantera andra risker än risken för alltför låg bruttosoliditet (i %) </v>
          </cell>
          <cell r="AD919">
            <v>0</v>
          </cell>
          <cell r="AE919">
            <v>0</v>
          </cell>
          <cell r="AF919">
            <v>0</v>
          </cell>
          <cell r="AG919">
            <v>0</v>
          </cell>
          <cell r="AI919">
            <v>0</v>
          </cell>
        </row>
        <row r="920">
          <cell r="A920" t="str">
            <v>YttKapbaskravkärnprimSolo</v>
          </cell>
          <cell r="C920" t="str">
            <v xml:space="preserve">     varav: ska utgöras av kärnprimärkapital (i procentenheter)</v>
          </cell>
          <cell r="AD920">
            <v>0</v>
          </cell>
          <cell r="AE920">
            <v>0</v>
          </cell>
          <cell r="AF920">
            <v>0</v>
          </cell>
          <cell r="AG920">
            <v>0</v>
          </cell>
          <cell r="AI920">
            <v>0</v>
          </cell>
        </row>
        <row r="921">
          <cell r="A921" t="str">
            <v>YttKapbaskravprimärSolo</v>
          </cell>
          <cell r="C921" t="str">
            <v xml:space="preserve">     varav: ska utgöras av primärkapital (i procentenheter)</v>
          </cell>
          <cell r="AD921">
            <v>0</v>
          </cell>
          <cell r="AE921">
            <v>0</v>
          </cell>
          <cell r="AF921">
            <v>0</v>
          </cell>
          <cell r="AG921">
            <v>0</v>
          </cell>
          <cell r="AI921">
            <v>0</v>
          </cell>
        </row>
        <row r="922">
          <cell r="A922" t="str">
            <v>TotalKapbaskravÖvUtSolo</v>
          </cell>
          <cell r="C922" t="str">
            <v>Totala kapitalbaskrav för översyns- och utvärderingsprocessen (i %)</v>
          </cell>
          <cell r="AD922">
            <v>0.08</v>
          </cell>
          <cell r="AE922">
            <v>0.08</v>
          </cell>
          <cell r="AF922">
            <v>0.08</v>
          </cell>
          <cell r="AG922">
            <v>0.08</v>
          </cell>
          <cell r="AI922">
            <v>0.08</v>
          </cell>
        </row>
        <row r="923">
          <cell r="C923" t="str">
            <v>Kombinerat buffertkrav och samlat kapitalkrav (som en procentandel av det riskvägda exponeringsbeloppet)</v>
          </cell>
        </row>
        <row r="924">
          <cell r="A924" t="str">
            <v>Gammal-KravKapKonsBuffertSolo</v>
          </cell>
          <cell r="C924" t="str">
            <v>Kapitalkonserveringsbuffert (i %)</v>
          </cell>
          <cell r="AD924">
            <v>2.4999999943538631E-2</v>
          </cell>
          <cell r="AE924">
            <v>2.4999999955463852E-2</v>
          </cell>
          <cell r="AF924">
            <v>2.4999999971957551E-2</v>
          </cell>
          <cell r="AG924">
            <v>2.4999999969613693E-2</v>
          </cell>
          <cell r="AI924">
            <v>2.4999999955463852E-2</v>
          </cell>
        </row>
        <row r="925">
          <cell r="A925" t="str">
            <v>KonsBuffertMedlemsstatSolo</v>
          </cell>
          <cell r="C925" t="str">
            <v>Konserveringsbuffert på grund av makrotillsynsrisker eller systemrisker identifierade på medlemsstatsnivå (i %)</v>
          </cell>
          <cell r="AD925">
            <v>0</v>
          </cell>
          <cell r="AE925">
            <v>0</v>
          </cell>
          <cell r="AF925">
            <v>0</v>
          </cell>
          <cell r="AG925">
            <v>0</v>
          </cell>
          <cell r="AI925">
            <v>0</v>
          </cell>
        </row>
        <row r="926">
          <cell r="A926" t="str">
            <v>InstBuffertkravSolo</v>
          </cell>
          <cell r="C926" t="str">
            <v>Institutspecifik kontracyklisk kapitalbuffert (i %)</v>
          </cell>
          <cell r="AD926">
            <v>0</v>
          </cell>
          <cell r="AE926">
            <v>0</v>
          </cell>
          <cell r="AF926">
            <v>0</v>
          </cell>
          <cell r="AG926">
            <v>0</v>
          </cell>
          <cell r="AI926">
            <v>0</v>
          </cell>
        </row>
        <row r="927">
          <cell r="A927" t="str">
            <v>SystemriskBuffertSolo</v>
          </cell>
          <cell r="C927" t="str">
            <v>Systemriskbuffert (i %)</v>
          </cell>
          <cell r="AD927">
            <v>0</v>
          </cell>
          <cell r="AE927">
            <v>0</v>
          </cell>
          <cell r="AF927">
            <v>0</v>
          </cell>
          <cell r="AG927">
            <v>0</v>
          </cell>
          <cell r="AI927">
            <v>0</v>
          </cell>
        </row>
        <row r="928">
          <cell r="A928" t="str">
            <v>GlobSystemvBuffertSolo</v>
          </cell>
          <cell r="C928" t="str">
            <v>Buffert för globalt systemviktigt institut (i %)</v>
          </cell>
          <cell r="AD928">
            <v>0</v>
          </cell>
          <cell r="AE928">
            <v>0</v>
          </cell>
          <cell r="AF928">
            <v>0</v>
          </cell>
          <cell r="AG928">
            <v>0</v>
          </cell>
          <cell r="AI928">
            <v>0</v>
          </cell>
        </row>
        <row r="929">
          <cell r="A929" t="str">
            <v>AndraSystemvBuffertSolo</v>
          </cell>
          <cell r="C929" t="str">
            <v>Buffert för andra systemviktiga institut (i %)</v>
          </cell>
          <cell r="AD929">
            <v>0</v>
          </cell>
          <cell r="AE929">
            <v>0</v>
          </cell>
          <cell r="AF929">
            <v>0</v>
          </cell>
          <cell r="AG929">
            <v>0</v>
          </cell>
          <cell r="AI929">
            <v>0</v>
          </cell>
        </row>
        <row r="930">
          <cell r="A930" t="str">
            <v>KombBuffertkravSolo</v>
          </cell>
          <cell r="C930" t="str">
            <v>Kombinerat buffertkrav (i %)</v>
          </cell>
          <cell r="AD930">
            <v>2.4999999943538631E-2</v>
          </cell>
          <cell r="AE930">
            <v>2.4999999955463852E-2</v>
          </cell>
          <cell r="AF930">
            <v>2.4999999971957551E-2</v>
          </cell>
          <cell r="AG930">
            <v>2.4999999969613693E-2</v>
          </cell>
          <cell r="AI930">
            <v>2.4999999955463852E-2</v>
          </cell>
        </row>
        <row r="931">
          <cell r="A931" t="str">
            <v>SamKapkravSolo</v>
          </cell>
          <cell r="C931" t="str">
            <v>Samlade kapitalkrav (i %)</v>
          </cell>
          <cell r="AD931">
            <v>0.105</v>
          </cell>
          <cell r="AE931">
            <v>0.105</v>
          </cell>
          <cell r="AF931">
            <v>0.105</v>
          </cell>
          <cell r="AG931">
            <v>0.105</v>
          </cell>
          <cell r="AI931">
            <v>0.105</v>
          </cell>
        </row>
        <row r="932">
          <cell r="A932" t="str">
            <v>TillgängKärnprimkapÖvUTSolo</v>
          </cell>
          <cell r="C932" t="str">
            <v>Tillgängligt kärnprimärkapital efter uppfyllande av de totala kapitalbaskraven för översyns- och utvärderingsprocessen (i %)</v>
          </cell>
          <cell r="AD932">
            <v>0</v>
          </cell>
          <cell r="AE932">
            <v>0</v>
          </cell>
          <cell r="AF932">
            <v>0</v>
          </cell>
          <cell r="AG932">
            <v>0</v>
          </cell>
          <cell r="AI932">
            <v>0</v>
          </cell>
        </row>
        <row r="933">
          <cell r="C933" t="str">
            <v>Bruttosoliditetsgrad</v>
          </cell>
        </row>
        <row r="934">
          <cell r="A934" t="str">
            <v>TotExpBruttoSolidgradSolo</v>
          </cell>
          <cell r="C934" t="str">
            <v>Totalt exponeringsmått</v>
          </cell>
          <cell r="AD934">
            <v>50575360.676999994</v>
          </cell>
          <cell r="AE934">
            <v>49687916.089000002</v>
          </cell>
          <cell r="AF934">
            <v>50031799.365999997</v>
          </cell>
          <cell r="AG934">
            <v>55197223.827</v>
          </cell>
          <cell r="AI934">
            <v>49687916.089000002</v>
          </cell>
        </row>
        <row r="935">
          <cell r="A935" t="str">
            <v>BruttoSolidgradSolo</v>
          </cell>
          <cell r="C935" t="str">
            <v>Bruttosoliditetsgrad (i %)</v>
          </cell>
          <cell r="AD935">
            <v>2.5000000000000001E-2</v>
          </cell>
          <cell r="AE935">
            <v>2.58E-2</v>
          </cell>
          <cell r="AF935">
            <v>4.2999999999999997E-2</v>
          </cell>
          <cell r="AG935">
            <v>3.8300000000000001E-2</v>
          </cell>
          <cell r="AI935">
            <v>2.58E-2</v>
          </cell>
        </row>
        <row r="936">
          <cell r="C936" t="str">
            <v>Ytterligare kapitalbaskrav för att hantera risken för alltför låg bruttosoliditet (som en procentandel av det totala exponeringsmåttet)</v>
          </cell>
        </row>
        <row r="937">
          <cell r="A937" t="str">
            <v>YttKapbaskravLågBruttoSolo</v>
          </cell>
          <cell r="C937" t="str">
            <v xml:space="preserve">Ytterligare kapitalbaskrav för att hantera risken för alltför låg bruttosoliditet (i %) </v>
          </cell>
        </row>
        <row r="938">
          <cell r="A938" t="str">
            <v>YttKapbaskravLågBruttoKärnprimSolo</v>
          </cell>
          <cell r="C938" t="str">
            <v xml:space="preserve">     varav: ska utgöras av kärnprimärkapital (i procentenheter)</v>
          </cell>
        </row>
        <row r="939">
          <cell r="A939" t="str">
            <v>TotKravBruttosolÖvUtSolo</v>
          </cell>
          <cell r="C939" t="str">
            <v>Totala krav avseende bruttosoliditetsgrad för översyns- och utvärderingsprocessen (i %)</v>
          </cell>
        </row>
        <row r="940">
          <cell r="A940" t="str">
            <v>BruttosoliditetsBuffertKravSolo</v>
          </cell>
          <cell r="C940" t="str">
            <v>Bruttosoliditetsbuffert och samlat bruttosoliditetskrav (som en procentandel av det totala exponeringsmåttet)</v>
          </cell>
        </row>
        <row r="941">
          <cell r="A941" t="str">
            <v>KravBruttosoliditetsBuffersSolo</v>
          </cell>
          <cell r="C941" t="str">
            <v>Krav på bruttosoliditetsbuffert (i %)</v>
          </cell>
        </row>
        <row r="942">
          <cell r="A942" t="str">
            <v>SamBruttosolidkravSolo</v>
          </cell>
          <cell r="C942" t="str">
            <v>Samlat bruttosoliditetskrav (i %)</v>
          </cell>
        </row>
        <row r="943">
          <cell r="C943" t="str">
            <v>Likviditetstäckningskvot</v>
          </cell>
        </row>
        <row r="944">
          <cell r="A944" t="str">
            <v>TotalLikvTillgångSolo</v>
          </cell>
          <cell r="C944" t="str">
            <v>Totala högkvalitativa likvida tillgångar (viktat värde – genomsnitt)</v>
          </cell>
          <cell r="AD944">
            <v>11953546.828583334</v>
          </cell>
          <cell r="AE944">
            <v>13174664.73325</v>
          </cell>
          <cell r="AF944">
            <v>14344023.616916666</v>
          </cell>
          <cell r="AG944">
            <v>14606261.997583333</v>
          </cell>
          <cell r="AI944">
            <v>13174664.73325</v>
          </cell>
        </row>
        <row r="945">
          <cell r="A945" t="str">
            <v>LikvidinflöSolo</v>
          </cell>
          <cell r="C945" t="str">
            <v xml:space="preserve">Likviditetsutflöden – totalt viktat värde </v>
          </cell>
          <cell r="AD945">
            <v>4774550.3908333331</v>
          </cell>
          <cell r="AE945">
            <v>4888214.17</v>
          </cell>
          <cell r="AF945">
            <v>5066825.7934166668</v>
          </cell>
          <cell r="AG945">
            <v>5160150.1942499997</v>
          </cell>
          <cell r="AI945">
            <v>4888214.17</v>
          </cell>
        </row>
        <row r="946">
          <cell r="A946" t="str">
            <v>LikvidutflöSolo</v>
          </cell>
          <cell r="C946" t="str">
            <v xml:space="preserve">Likviditetsinflöden – totalt viktat värde </v>
          </cell>
          <cell r="AD946">
            <v>4864615.3023333326</v>
          </cell>
          <cell r="AE946">
            <v>4309547.9175833333</v>
          </cell>
          <cell r="AF946">
            <v>3954055.2050833334</v>
          </cell>
          <cell r="AG946">
            <v>4126653.0166666661</v>
          </cell>
          <cell r="AI946">
            <v>4309547.9175833333</v>
          </cell>
        </row>
        <row r="947">
          <cell r="A947" t="str">
            <v>TotalaNettolikvidflödSolo</v>
          </cell>
          <cell r="C947" t="str">
            <v>Totala nettolikviditetsutflöden (justerat värde)</v>
          </cell>
          <cell r="AD947">
            <v>1275553.9919166667</v>
          </cell>
          <cell r="AE947">
            <v>1312146.7518333332</v>
          </cell>
          <cell r="AF947">
            <v>1383259.70725</v>
          </cell>
          <cell r="AG947">
            <v>1336330.7668333333</v>
          </cell>
          <cell r="AI947">
            <v>1312146.7518333332</v>
          </cell>
        </row>
        <row r="948">
          <cell r="A948" t="str">
            <v>LikviditestäckningskvotSolo</v>
          </cell>
          <cell r="C948" t="str">
            <v>Likviditetstäckningskvot (i %)</v>
          </cell>
          <cell r="AD948">
            <v>6281.4083333333319</v>
          </cell>
          <cell r="AE948">
            <v>7388.4499999999989</v>
          </cell>
          <cell r="AF948">
            <v>7998.1916666666648</v>
          </cell>
          <cell r="AG948">
            <v>8459.8916666666682</v>
          </cell>
          <cell r="AI948">
            <v>7388.4499999999989</v>
          </cell>
        </row>
        <row r="949">
          <cell r="C949" t="str">
            <v>Stabil nettofinansieringskvot</v>
          </cell>
        </row>
        <row r="951">
          <cell r="C951" t="str">
            <v>Nyckeltal Konsoliderad sit, MSEK</v>
          </cell>
        </row>
        <row r="952">
          <cell r="C952" t="str">
            <v>Tillgänglig kapitalbas (belopp)</v>
          </cell>
        </row>
        <row r="953">
          <cell r="A953" t="str">
            <v>KärnprimärkapitalGrupp</v>
          </cell>
          <cell r="C953" t="str">
            <v xml:space="preserve">Kärnprimärkapital </v>
          </cell>
          <cell r="Z953">
            <v>1133000</v>
          </cell>
          <cell r="AA953">
            <v>1427000</v>
          </cell>
          <cell r="AB953">
            <v>1411000</v>
          </cell>
          <cell r="AC953">
            <v>1401000</v>
          </cell>
          <cell r="AD953">
            <v>1408866.9</v>
          </cell>
          <cell r="AE953">
            <v>1529442.6</v>
          </cell>
          <cell r="AF953">
            <v>2427416.1570000001</v>
          </cell>
          <cell r="AG953">
            <v>2410234.0449999999</v>
          </cell>
          <cell r="AH953">
            <v>2646927.2919999999</v>
          </cell>
          <cell r="AI953">
            <v>2799243.8959999997</v>
          </cell>
        </row>
        <row r="954">
          <cell r="A954" t="str">
            <v>PrimärkapitalGrupp</v>
          </cell>
          <cell r="C954" t="str">
            <v xml:space="preserve">Primärkapital </v>
          </cell>
          <cell r="AD954">
            <v>1408866.9</v>
          </cell>
          <cell r="AE954">
            <v>1529442.6</v>
          </cell>
          <cell r="AF954">
            <v>2427416.1570000001</v>
          </cell>
          <cell r="AG954">
            <v>2410234.0449999999</v>
          </cell>
          <cell r="AH954">
            <v>2646927.2919999999</v>
          </cell>
          <cell r="AI954">
            <v>2799243.8959999997</v>
          </cell>
        </row>
        <row r="955">
          <cell r="A955" t="str">
            <v>TotKapGrupp</v>
          </cell>
          <cell r="C955" t="str">
            <v xml:space="preserve">Totalt kapital </v>
          </cell>
          <cell r="Z955">
            <v>1222000</v>
          </cell>
          <cell r="AA955">
            <v>1505000</v>
          </cell>
          <cell r="AB955">
            <v>1490000</v>
          </cell>
          <cell r="AC955">
            <v>1468000</v>
          </cell>
          <cell r="AD955">
            <v>1479149.108</v>
          </cell>
          <cell r="AE955">
            <v>1598159.8630000001</v>
          </cell>
          <cell r="AF955">
            <v>2427416.1570000001</v>
          </cell>
          <cell r="AG955">
            <v>2410234.0449999999</v>
          </cell>
          <cell r="AH955">
            <v>2646927.2919999999</v>
          </cell>
          <cell r="AI955">
            <v>2799243.8959999997</v>
          </cell>
        </row>
        <row r="956">
          <cell r="C956" t="str">
            <v>Riskvägda exponeringsbelopp</v>
          </cell>
        </row>
        <row r="957">
          <cell r="A957" t="str">
            <v>TotRiskvExpBelGrupp</v>
          </cell>
          <cell r="C957" t="str">
            <v>Totalt riskvägt exponeringsbelopp</v>
          </cell>
          <cell r="Z957">
            <v>7496512.9819999998</v>
          </cell>
          <cell r="AA957">
            <v>7636171.0669999998</v>
          </cell>
          <cell r="AB957">
            <v>8367467.5240000002</v>
          </cell>
          <cell r="AC957">
            <v>8109132.9110000003</v>
          </cell>
          <cell r="AD957">
            <v>8663075.9010000005</v>
          </cell>
          <cell r="AE957">
            <v>8525338.7750000004</v>
          </cell>
          <cell r="AF957">
            <v>9956978.4920000006</v>
          </cell>
          <cell r="AG957">
            <v>10096481.503</v>
          </cell>
          <cell r="AH957">
            <v>10598263.935000001</v>
          </cell>
          <cell r="AI957">
            <v>10703188.967</v>
          </cell>
        </row>
        <row r="958">
          <cell r="C958" t="str">
            <v>Kapitalrelationer (som en procentandel av det riskvägda exponeringsbeloppet)</v>
          </cell>
        </row>
        <row r="959">
          <cell r="A959" t="str">
            <v>KärnPrimKapRelGrupp</v>
          </cell>
          <cell r="C959" t="str">
            <v>Kärnprimärkapitalrelation (i %)</v>
          </cell>
          <cell r="Z959">
            <v>0.151</v>
          </cell>
          <cell r="AA959">
            <v>0.187</v>
          </cell>
          <cell r="AB959">
            <v>0.16900000000000001</v>
          </cell>
          <cell r="AC959">
            <v>0.17277172804745999</v>
          </cell>
          <cell r="AD959">
            <v>0.16259999999999999</v>
          </cell>
          <cell r="AE959">
            <v>0.1794</v>
          </cell>
          <cell r="AF959">
            <v>0.24379999999999999</v>
          </cell>
          <cell r="AG959">
            <v>0.2387</v>
          </cell>
          <cell r="AH959">
            <v>0.24979999999999999</v>
          </cell>
          <cell r="AI959">
            <v>0.26150000000000001</v>
          </cell>
        </row>
        <row r="960">
          <cell r="A960" t="str">
            <v>PrimKapRelGrupp</v>
          </cell>
          <cell r="C960" t="str">
            <v>Primärkapitalrelation (i %)</v>
          </cell>
          <cell r="Z960">
            <v>0.151</v>
          </cell>
          <cell r="AA960">
            <v>0.187</v>
          </cell>
          <cell r="AB960">
            <v>0.16900000000000001</v>
          </cell>
          <cell r="AC960">
            <v>0.17277172804745999</v>
          </cell>
          <cell r="AD960">
            <v>0.16259999999999999</v>
          </cell>
          <cell r="AE960">
            <v>0.1794</v>
          </cell>
          <cell r="AF960">
            <v>0.24379999999999999</v>
          </cell>
          <cell r="AG960">
            <v>0.2387</v>
          </cell>
          <cell r="AH960">
            <v>0.24979999999999999</v>
          </cell>
          <cell r="AI960">
            <v>0.26150000000000001</v>
          </cell>
        </row>
        <row r="961">
          <cell r="A961" t="str">
            <v>TotalKapRelGrupp</v>
          </cell>
          <cell r="C961" t="str">
            <v>Total kapitalrelation (i %)</v>
          </cell>
          <cell r="Z961">
            <v>0.16300000000000001</v>
          </cell>
          <cell r="AA961">
            <v>0.19700000000000001</v>
          </cell>
          <cell r="AB961">
            <v>0.17799999999999999</v>
          </cell>
          <cell r="AC961">
            <v>0.18102317413107699</v>
          </cell>
          <cell r="AD961">
            <v>0.17069999999999999</v>
          </cell>
          <cell r="AE961">
            <v>0.1875</v>
          </cell>
          <cell r="AF961">
            <v>0.24379999999999999</v>
          </cell>
          <cell r="AG961">
            <v>0.2387</v>
          </cell>
          <cell r="AH961">
            <v>0.24979999999999999</v>
          </cell>
          <cell r="AI961">
            <v>0.26150000000000001</v>
          </cell>
        </row>
        <row r="962">
          <cell r="C962" t="str">
            <v>Ytterligare kapitalbaskrav för att hantera andra risker än risken för alltför låg bruttosoliditet (som en procentandel av det riskvägda exponeringsbeloppet)</v>
          </cell>
        </row>
        <row r="963">
          <cell r="A963" t="str">
            <v>YttKapbaskrav</v>
          </cell>
          <cell r="C963" t="str">
            <v xml:space="preserve">Ytterligare kapitalbaskrav för att hantera andra risker än risken för alltför låg bruttosoliditet (i %) </v>
          </cell>
          <cell r="AD963">
            <v>1.3043865861426441E-2</v>
          </cell>
          <cell r="AE963">
            <v>1.3254605240012882E-2</v>
          </cell>
          <cell r="AF963">
            <v>2.6112339221069796E-2</v>
          </cell>
          <cell r="AG963">
            <v>2.5751545221248152E-2</v>
          </cell>
          <cell r="AH963">
            <v>2.4532319783183432E-2</v>
          </cell>
          <cell r="AI963">
            <v>2.4291825623338075E-2</v>
          </cell>
        </row>
        <row r="964">
          <cell r="A964" t="str">
            <v>YttKapbaskravkärnprim</v>
          </cell>
          <cell r="C964" t="str">
            <v xml:space="preserve">     varav: ska utgöras av kärnprimärkapital (i procentenheter)</v>
          </cell>
          <cell r="AD964">
            <v>7.3371745470523731E-3</v>
          </cell>
          <cell r="AE964">
            <v>7.4557154475072464E-3</v>
          </cell>
          <cell r="AF964">
            <v>1.468819081185176E-2</v>
          </cell>
          <cell r="AG964">
            <v>1.4485244186952085E-2</v>
          </cell>
          <cell r="AH964">
            <v>1.379942987804068E-2</v>
          </cell>
          <cell r="AI964">
            <v>1.3664151913127667E-2</v>
          </cell>
        </row>
        <row r="965">
          <cell r="A965" t="str">
            <v>YttKapbaskravprimär</v>
          </cell>
          <cell r="C965" t="str">
            <v xml:space="preserve">     varav: ska utgöras av primärkapital (i procentenheter)</v>
          </cell>
          <cell r="AD965">
            <v>9.7828993960698309E-3</v>
          </cell>
          <cell r="AE965">
            <v>9.9409539300096619E-3</v>
          </cell>
          <cell r="AF965">
            <v>1.9584254415802346E-2</v>
          </cell>
          <cell r="AG965">
            <v>1.9313658915936116E-2</v>
          </cell>
          <cell r="AH965">
            <v>1.8399239837387574E-2</v>
          </cell>
          <cell r="AI965">
            <v>1.8218869217503555E-2</v>
          </cell>
        </row>
        <row r="966">
          <cell r="A966" t="str">
            <v>TotalKapbaskravÖvUt</v>
          </cell>
          <cell r="C966" t="str">
            <v>Totala kapitalbaskrav för översyns- och utvärderingsprocessen (i %)</v>
          </cell>
          <cell r="AD966">
            <v>9.3043865861426447E-2</v>
          </cell>
          <cell r="AE966">
            <v>9.3254605240012889E-2</v>
          </cell>
          <cell r="AF966">
            <v>0.1061123392210698</v>
          </cell>
          <cell r="AG966">
            <v>0.10575154522124816</v>
          </cell>
          <cell r="AH966">
            <v>0.10453231978318343</v>
          </cell>
          <cell r="AI966">
            <v>0.10429182562333808</v>
          </cell>
        </row>
        <row r="967">
          <cell r="C967" t="str">
            <v>Kombinerat buffertkrav och samlat kapitalkrav (som en procentandel av det riskvägda exponeringsbeloppet)</v>
          </cell>
        </row>
        <row r="968">
          <cell r="A968" t="str">
            <v>KravKapKonsBuffert</v>
          </cell>
          <cell r="C968" t="str">
            <v>Kapitalkonserveringsbuffert (i %)</v>
          </cell>
          <cell r="AC968">
            <v>2.5000000000000001E-2</v>
          </cell>
          <cell r="AD968">
            <v>2.5000000054830409E-2</v>
          </cell>
          <cell r="AE968">
            <v>2.4999999956013479E-2</v>
          </cell>
          <cell r="AF968">
            <v>2.4999999969870377E-2</v>
          </cell>
          <cell r="AG968">
            <v>2.5000000042093871E-2</v>
          </cell>
          <cell r="AH968">
            <v>2.5000000000000001E-2</v>
          </cell>
          <cell r="AI968">
            <v>2.5000000000000001E-2</v>
          </cell>
        </row>
        <row r="969">
          <cell r="A969" t="str">
            <v>KonsBuffertMedlemsstat</v>
          </cell>
          <cell r="C969" t="str">
            <v>Konserveringsbuffert på grund av makrotillsynsrisker eller systemrisker identifierade på medlemsstatsnivå (i %)</v>
          </cell>
          <cell r="AD969">
            <v>0</v>
          </cell>
          <cell r="AE969">
            <v>0</v>
          </cell>
          <cell r="AF969">
            <v>0</v>
          </cell>
          <cell r="AG969">
            <v>0</v>
          </cell>
          <cell r="AH969">
            <v>0</v>
          </cell>
          <cell r="AI969">
            <v>0</v>
          </cell>
        </row>
        <row r="970">
          <cell r="A970" t="str">
            <v>InstBuffertkravGrupp</v>
          </cell>
          <cell r="C970" t="str">
            <v>Institutspecifik kontracyklisk kapitalbuffert (i %)</v>
          </cell>
          <cell r="AD970">
            <v>0</v>
          </cell>
          <cell r="AE970">
            <v>0</v>
          </cell>
          <cell r="AF970">
            <v>0</v>
          </cell>
          <cell r="AG970">
            <v>0</v>
          </cell>
          <cell r="AH970">
            <v>0</v>
          </cell>
          <cell r="AI970">
            <v>0</v>
          </cell>
        </row>
        <row r="971">
          <cell r="A971" t="str">
            <v>SystemriskBuffertGrupp</v>
          </cell>
          <cell r="C971" t="str">
            <v>Systemriskbuffert (i %)</v>
          </cell>
          <cell r="AD971">
            <v>0</v>
          </cell>
          <cell r="AE971">
            <v>0</v>
          </cell>
          <cell r="AF971">
            <v>0</v>
          </cell>
          <cell r="AG971">
            <v>0</v>
          </cell>
          <cell r="AH971">
            <v>0</v>
          </cell>
          <cell r="AI971">
            <v>0</v>
          </cell>
        </row>
        <row r="972">
          <cell r="A972" t="str">
            <v>GlobSystemvBuffert</v>
          </cell>
          <cell r="C972" t="str">
            <v>Buffert för globalt systemviktigt institut (i %)</v>
          </cell>
          <cell r="AD972">
            <v>0</v>
          </cell>
          <cell r="AE972">
            <v>0</v>
          </cell>
          <cell r="AF972">
            <v>0</v>
          </cell>
          <cell r="AG972">
            <v>0</v>
          </cell>
          <cell r="AH972">
            <v>0</v>
          </cell>
          <cell r="AI972">
            <v>0</v>
          </cell>
        </row>
        <row r="973">
          <cell r="A973" t="str">
            <v>AndraSystemvBuffert</v>
          </cell>
          <cell r="C973" t="str">
            <v>Buffert för andra systemviktiga institut (i %)</v>
          </cell>
          <cell r="AD973">
            <v>0</v>
          </cell>
          <cell r="AE973">
            <v>0</v>
          </cell>
          <cell r="AF973">
            <v>0</v>
          </cell>
          <cell r="AG973">
            <v>0</v>
          </cell>
          <cell r="AH973">
            <v>0</v>
          </cell>
          <cell r="AI973">
            <v>0</v>
          </cell>
        </row>
        <row r="974">
          <cell r="A974" t="str">
            <v>KombBuffertkravGrupp</v>
          </cell>
          <cell r="C974" t="str">
            <v>Kombinerat buffertkrav (i %)</v>
          </cell>
          <cell r="AD974">
            <v>2.5000000054830409E-2</v>
          </cell>
          <cell r="AE974">
            <v>2.4999999956013479E-2</v>
          </cell>
          <cell r="AF974">
            <v>2.4999999969870377E-2</v>
          </cell>
          <cell r="AG974">
            <v>2.5000000042093871E-2</v>
          </cell>
          <cell r="AH974">
            <v>2.5000000000000001E-2</v>
          </cell>
          <cell r="AI974">
            <v>2.5000000000000001E-2</v>
          </cell>
        </row>
        <row r="975">
          <cell r="A975" t="str">
            <v>SamKapkravGrupp</v>
          </cell>
          <cell r="C975" t="str">
            <v>Samlade kapitalkrav (i %)</v>
          </cell>
          <cell r="Z975">
            <v>0.14007367499013557</v>
          </cell>
          <cell r="AA975">
            <v>0.14479799225273171</v>
          </cell>
          <cell r="AB975">
            <v>0.14350468341297862</v>
          </cell>
          <cell r="AC975">
            <v>0.11893490544367771</v>
          </cell>
          <cell r="AD975">
            <v>0.11804386589339616</v>
          </cell>
          <cell r="AE975">
            <v>0.11825460519602636</v>
          </cell>
          <cell r="AF975">
            <v>0.13111233919094017</v>
          </cell>
          <cell r="AG975">
            <v>0.13075154526334204</v>
          </cell>
          <cell r="AH975">
            <v>0.1295</v>
          </cell>
          <cell r="AI975">
            <v>0.1293</v>
          </cell>
        </row>
        <row r="976">
          <cell r="A976" t="str">
            <v>TillgängKärnprimkapÖvUTGrupp</v>
          </cell>
          <cell r="C976" t="str">
            <v>Tillgängligt kärnprimärkapital efter uppfyllande av de totala kapitalbaskraven för översyns- och utvärderingsprocessen (i %)</v>
          </cell>
          <cell r="AD976">
            <v>6.9556134138573547E-2</v>
          </cell>
          <cell r="AE976">
            <v>8.6145394759987115E-2</v>
          </cell>
          <cell r="AF976">
            <v>0.13768766077893019</v>
          </cell>
          <cell r="AG976">
            <v>0.13294845477875183</v>
          </cell>
          <cell r="AH976">
            <v>0.14526768021681657</v>
          </cell>
          <cell r="AI976">
            <v>0.15720817437666193</v>
          </cell>
        </row>
        <row r="977">
          <cell r="C977" t="str">
            <v>Bruttosoliditetsgrad</v>
          </cell>
        </row>
        <row r="978">
          <cell r="A978" t="str">
            <v>TotExpBruttoSolidgradGrupp</v>
          </cell>
          <cell r="C978" t="str">
            <v>Totalt exponeringsmått</v>
          </cell>
          <cell r="AC978">
            <v>55899015.943999998</v>
          </cell>
          <cell r="AD978">
            <v>50575360.676999994</v>
          </cell>
          <cell r="AE978">
            <v>49687916.089000002</v>
          </cell>
          <cell r="AF978">
            <v>50031799.365999997</v>
          </cell>
          <cell r="AG978">
            <v>55739695.982999995</v>
          </cell>
          <cell r="AH978">
            <v>56074512.567000002</v>
          </cell>
          <cell r="AI978">
            <v>62363867.853</v>
          </cell>
        </row>
        <row r="979">
          <cell r="A979" t="str">
            <v>BruttoSolidgradGrupp</v>
          </cell>
          <cell r="C979" t="str">
            <v>Bruttosoliditetsgrad (i %)</v>
          </cell>
          <cell r="Z979">
            <v>2.8000000000000001E-2</v>
          </cell>
          <cell r="AA979">
            <v>3.4692793277289205E-2</v>
          </cell>
          <cell r="AB979">
            <v>3.4516690427899892E-2</v>
          </cell>
          <cell r="AC979">
            <v>2.5063570124446554E-2</v>
          </cell>
          <cell r="AD979">
            <v>2.7900000000000001E-2</v>
          </cell>
          <cell r="AE979">
            <v>3.0800000000000001E-2</v>
          </cell>
          <cell r="AF979">
            <v>4.8500000000000001E-2</v>
          </cell>
          <cell r="AG979">
            <v>4.3200000000000002E-2</v>
          </cell>
          <cell r="AH979">
            <v>4.7199999999999999E-2</v>
          </cell>
          <cell r="AI979">
            <v>4.4900000000000002E-2</v>
          </cell>
        </row>
        <row r="980">
          <cell r="C980" t="str">
            <v>Ytterligare kapitalbaskrav för att hantera risken för alltför låg bruttosoliditet (som en procentandel av det totala exponeringsmåttet)</v>
          </cell>
        </row>
        <row r="981">
          <cell r="A981" t="str">
            <v>YttKapbaskravLågBrutto</v>
          </cell>
          <cell r="C981" t="str">
            <v xml:space="preserve">Ytterligare kapitalbaskrav för att hantera risken för alltför låg bruttosoliditet (i %) </v>
          </cell>
          <cell r="AH981">
            <v>0</v>
          </cell>
          <cell r="AI981">
            <v>0</v>
          </cell>
        </row>
        <row r="982">
          <cell r="A982" t="str">
            <v>YttKapbaskravLågBruttoKärnprim</v>
          </cell>
          <cell r="C982" t="str">
            <v xml:space="preserve">     varav: ska utgöras av kärnprimärkapital (i procentenheter)</v>
          </cell>
          <cell r="AH982">
            <v>0</v>
          </cell>
          <cell r="AI982">
            <v>0</v>
          </cell>
        </row>
        <row r="983">
          <cell r="A983" t="str">
            <v>TotKravBruttosolÖvUt</v>
          </cell>
          <cell r="C983" t="str">
            <v>Totala krav avseende bruttosoliditetsgrad för översyns- och utvärderingsprocessen (i %)</v>
          </cell>
          <cell r="AH983">
            <v>0.03</v>
          </cell>
          <cell r="AI983">
            <v>0.03</v>
          </cell>
        </row>
        <row r="984">
          <cell r="A984" t="str">
            <v>BruttosoliditetsBuffertKrav</v>
          </cell>
          <cell r="C984" t="str">
            <v>Bruttosoliditetsbuffert och samlat bruttosoliditetskrav (som en procentandel av det totala exponeringsmåttet)</v>
          </cell>
        </row>
        <row r="985">
          <cell r="A985" t="str">
            <v>KravBruttosoliditetsBuffers</v>
          </cell>
          <cell r="C985" t="str">
            <v>Krav på bruttosoliditetsbuffert (i %)</v>
          </cell>
          <cell r="AH985">
            <v>0</v>
          </cell>
          <cell r="AI985">
            <v>0</v>
          </cell>
        </row>
        <row r="986">
          <cell r="A986" t="str">
            <v>SamBruttosolidkrav</v>
          </cell>
          <cell r="C986" t="str">
            <v>Samlat bruttosoliditetskrav (i %)</v>
          </cell>
          <cell r="AH986">
            <v>0.03</v>
          </cell>
          <cell r="AI986">
            <v>0.03</v>
          </cell>
        </row>
        <row r="987">
          <cell r="C987" t="str">
            <v>Likviditetstäckningskvot</v>
          </cell>
        </row>
        <row r="988">
          <cell r="A988" t="str">
            <v>TotalLikvTillgång</v>
          </cell>
          <cell r="C988" t="str">
            <v>Totala högkvalitativa likvida tillgångar (viktat värde – genomsnitt)</v>
          </cell>
          <cell r="AD988">
            <v>11953546.828583334</v>
          </cell>
          <cell r="AE988">
            <v>13174664.73325</v>
          </cell>
          <cell r="AF988">
            <v>14344023.616916666</v>
          </cell>
          <cell r="AG988">
            <v>14606261.997583333</v>
          </cell>
          <cell r="AH988">
            <v>14510917.141333334</v>
          </cell>
          <cell r="AI988">
            <v>15133097.331916666</v>
          </cell>
        </row>
        <row r="989">
          <cell r="A989" t="str">
            <v>Likvidinflö</v>
          </cell>
          <cell r="C989" t="str">
            <v xml:space="preserve">Likviditetsutflöden – totalt viktat värde </v>
          </cell>
          <cell r="AD989">
            <v>4804026.1025833329</v>
          </cell>
          <cell r="AE989">
            <v>4917689.8817499997</v>
          </cell>
          <cell r="AF989">
            <v>5096301.5051666675</v>
          </cell>
          <cell r="AG989">
            <v>5171126.1866666675</v>
          </cell>
          <cell r="AH989">
            <v>5251475.4322500005</v>
          </cell>
          <cell r="AI989">
            <v>5441527.9749999996</v>
          </cell>
        </row>
        <row r="990">
          <cell r="A990" t="str">
            <v>Likvidutflö</v>
          </cell>
          <cell r="C990" t="str">
            <v xml:space="preserve">Likviditetsinflöden – totalt viktat värde </v>
          </cell>
          <cell r="AD990">
            <v>4866577.6323333327</v>
          </cell>
          <cell r="AE990">
            <v>4311637.5746666668</v>
          </cell>
          <cell r="AF990">
            <v>3956472.4354999997</v>
          </cell>
          <cell r="AG990">
            <v>4129406.7930833334</v>
          </cell>
          <cell r="AH990">
            <v>4514772.3039166704</v>
          </cell>
          <cell r="AI990">
            <v>5213322.6149166664</v>
          </cell>
        </row>
        <row r="991">
          <cell r="A991" t="str">
            <v>TotalaNettolikvidflöd</v>
          </cell>
          <cell r="C991" t="str">
            <v>Totala nettolikviditetsutflöden (justerat värde)</v>
          </cell>
          <cell r="AD991">
            <v>1304715.26</v>
          </cell>
          <cell r="AE991">
            <v>1341109.8951666667</v>
          </cell>
          <cell r="AF991">
            <v>1411697.4852499999</v>
          </cell>
          <cell r="AG991">
            <v>1346314.3394166669</v>
          </cell>
          <cell r="AH991">
            <v>1366401.65075</v>
          </cell>
          <cell r="AI991">
            <v>1405944.4189791668</v>
          </cell>
        </row>
        <row r="992">
          <cell r="A992" t="str">
            <v>Likviditestäckningskvot</v>
          </cell>
          <cell r="C992" t="str">
            <v>Likviditetstäckningskvot (i %)</v>
          </cell>
          <cell r="AD992">
            <v>6.0790250000000006</v>
          </cell>
          <cell r="AE992">
            <v>7.1869083333333323</v>
          </cell>
          <cell r="AF992">
            <v>7.7989416666666669</v>
          </cell>
          <cell r="AG992">
            <v>8.3820583333333349</v>
          </cell>
          <cell r="AH992">
            <v>8.4415083333333332</v>
          </cell>
          <cell r="AI992">
            <v>9.2130083333333328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AvanzaOfficeTheme">
  <a:themeElements>
    <a:clrScheme name="Custom 3">
      <a:dk1>
        <a:srgbClr val="323232"/>
      </a:dk1>
      <a:lt1>
        <a:srgbClr val="F0F0F0"/>
      </a:lt1>
      <a:dk2>
        <a:srgbClr val="545454"/>
      </a:dk2>
      <a:lt2>
        <a:srgbClr val="F0F0F0"/>
      </a:lt2>
      <a:accent1>
        <a:srgbClr val="00C281"/>
      </a:accent1>
      <a:accent2>
        <a:srgbClr val="FD6B60"/>
      </a:accent2>
      <a:accent3>
        <a:srgbClr val="00AECE"/>
      </a:accent3>
      <a:accent4>
        <a:srgbClr val="FDD92C"/>
      </a:accent4>
      <a:accent5>
        <a:srgbClr val="01D38D"/>
      </a:accent5>
      <a:accent6>
        <a:srgbClr val="CD19C1"/>
      </a:accent6>
      <a:hlink>
        <a:srgbClr val="C07FD2"/>
      </a:hlink>
      <a:folHlink>
        <a:srgbClr val="387ED6"/>
      </a:folHlink>
    </a:clrScheme>
    <a:fontScheme name="Roboto Avanza">
      <a:majorFont>
        <a:latin typeface="Roboto Avanza Slab"/>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Roboto"/>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D181"/>
  <sheetViews>
    <sheetView showGridLines="0" tabSelected="1" zoomScaleNormal="100" workbookViewId="0">
      <pane xSplit="2" ySplit="6" topLeftCell="CL156" activePane="bottomRight" state="frozen"/>
      <selection pane="topRight" activeCell="C1" sqref="C1"/>
      <selection pane="bottomLeft" activeCell="A7" sqref="A7"/>
      <selection pane="bottomRight" activeCell="A176" sqref="A176"/>
    </sheetView>
  </sheetViews>
  <sheetFormatPr defaultColWidth="9.140625" defaultRowHeight="12.75" x14ac:dyDescent="0.2"/>
  <cols>
    <col min="1" max="1" width="98.140625" style="2" bestFit="1" customWidth="1"/>
    <col min="2" max="2" width="6" style="175" hidden="1" customWidth="1"/>
    <col min="3" max="3" width="13.7109375" style="1" customWidth="1"/>
    <col min="4" max="77" width="13.42578125" style="1" customWidth="1"/>
    <col min="78" max="88" width="13.42578125" style="1" bestFit="1" customWidth="1"/>
    <col min="89" max="89" width="14" style="1" bestFit="1" customWidth="1"/>
    <col min="90" max="95" width="13.85546875" style="1" customWidth="1"/>
    <col min="96" max="99" width="13.85546875" customWidth="1"/>
    <col min="100" max="100" width="8.85546875" customWidth="1"/>
    <col min="101" max="101" width="16.7109375" bestFit="1" customWidth="1"/>
    <col min="102" max="102" width="13.5703125" style="2" bestFit="1" customWidth="1"/>
    <col min="103" max="103" width="10" style="2" bestFit="1" customWidth="1"/>
    <col min="104" max="16384" width="9.140625" style="2"/>
  </cols>
  <sheetData>
    <row r="1" spans="1:102" ht="17.25" customHeight="1" x14ac:dyDescent="0.2">
      <c r="A1" s="137" t="s">
        <v>270</v>
      </c>
      <c r="BG1" s="158"/>
      <c r="BH1" s="158"/>
      <c r="BJ1" s="158"/>
      <c r="CR1" s="262"/>
      <c r="CS1" s="262"/>
      <c r="CT1" s="262"/>
      <c r="CU1" s="262"/>
    </row>
    <row r="2" spans="1:102" ht="22.5" x14ac:dyDescent="0.2">
      <c r="A2" s="215" t="s">
        <v>98</v>
      </c>
      <c r="N2" s="216"/>
      <c r="BK2" s="217"/>
      <c r="BL2" s="217"/>
      <c r="BM2" s="217"/>
      <c r="BN2" s="217"/>
      <c r="BO2" s="217"/>
      <c r="BP2" s="217"/>
      <c r="BQ2" s="217"/>
      <c r="BR2" s="217"/>
      <c r="CR2" s="1"/>
      <c r="CS2" s="1"/>
      <c r="CT2" s="1"/>
      <c r="CU2" s="1"/>
    </row>
    <row r="3" spans="1:102" ht="16.5" customHeight="1" x14ac:dyDescent="0.2">
      <c r="A3" s="123" t="s">
        <v>25</v>
      </c>
      <c r="B3" s="124"/>
      <c r="C3" s="125" t="s">
        <v>38</v>
      </c>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99"/>
      <c r="BL3" s="199"/>
      <c r="BM3" s="199"/>
      <c r="BN3" s="199"/>
      <c r="BO3" s="199"/>
      <c r="BP3" s="199"/>
      <c r="BQ3" s="199"/>
      <c r="BR3" s="199"/>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7"/>
    </row>
    <row r="4" spans="1:102" x14ac:dyDescent="0.2">
      <c r="A4" s="128" t="s">
        <v>274</v>
      </c>
      <c r="B4" s="218"/>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30"/>
    </row>
    <row r="5" spans="1:102" x14ac:dyDescent="0.2">
      <c r="A5" s="131"/>
      <c r="B5" s="132" t="s">
        <v>44</v>
      </c>
      <c r="C5" s="133" t="s">
        <v>0</v>
      </c>
      <c r="D5" s="133" t="s">
        <v>1</v>
      </c>
      <c r="E5" s="133" t="s">
        <v>2</v>
      </c>
      <c r="F5" s="133" t="s">
        <v>3</v>
      </c>
      <c r="G5" s="133" t="s">
        <v>4</v>
      </c>
      <c r="H5" s="133" t="s">
        <v>5</v>
      </c>
      <c r="I5" s="133" t="s">
        <v>6</v>
      </c>
      <c r="J5" s="133" t="s">
        <v>41</v>
      </c>
      <c r="K5" s="133" t="s">
        <v>8</v>
      </c>
      <c r="L5" s="133" t="s">
        <v>9</v>
      </c>
      <c r="M5" s="133" t="s">
        <v>10</v>
      </c>
      <c r="N5" s="133" t="s">
        <v>11</v>
      </c>
      <c r="O5" s="133" t="s">
        <v>12</v>
      </c>
      <c r="P5" s="133" t="s">
        <v>13</v>
      </c>
      <c r="Q5" s="133" t="s">
        <v>14</v>
      </c>
      <c r="R5" s="133" t="s">
        <v>7</v>
      </c>
      <c r="S5" s="133" t="s">
        <v>15</v>
      </c>
      <c r="T5" s="133" t="s">
        <v>16</v>
      </c>
      <c r="U5" s="133" t="s">
        <v>17</v>
      </c>
      <c r="V5" s="133" t="s">
        <v>18</v>
      </c>
      <c r="W5" s="133" t="s">
        <v>19</v>
      </c>
      <c r="X5" s="133" t="s">
        <v>20</v>
      </c>
      <c r="Y5" s="133" t="s">
        <v>21</v>
      </c>
      <c r="Z5" s="133" t="s">
        <v>22</v>
      </c>
      <c r="AA5" s="133" t="s">
        <v>23</v>
      </c>
      <c r="AB5" s="133" t="s">
        <v>24</v>
      </c>
      <c r="AC5" s="133" t="s">
        <v>48</v>
      </c>
      <c r="AD5" s="133" t="s">
        <v>50</v>
      </c>
      <c r="AE5" s="133" t="s">
        <v>51</v>
      </c>
      <c r="AF5" s="133" t="s">
        <v>52</v>
      </c>
      <c r="AG5" s="133" t="s">
        <v>53</v>
      </c>
      <c r="AH5" s="133" t="s">
        <v>54</v>
      </c>
      <c r="AI5" s="133" t="s">
        <v>55</v>
      </c>
      <c r="AJ5" s="133" t="s">
        <v>56</v>
      </c>
      <c r="AK5" s="133" t="s">
        <v>57</v>
      </c>
      <c r="AL5" s="133" t="s">
        <v>58</v>
      </c>
      <c r="AM5" s="133" t="s">
        <v>59</v>
      </c>
      <c r="AN5" s="133" t="s">
        <v>60</v>
      </c>
      <c r="AO5" s="133" t="s">
        <v>61</v>
      </c>
      <c r="AP5" s="133" t="s">
        <v>62</v>
      </c>
      <c r="AQ5" s="133" t="s">
        <v>63</v>
      </c>
      <c r="AR5" s="133" t="s">
        <v>64</v>
      </c>
      <c r="AS5" s="133" t="s">
        <v>65</v>
      </c>
      <c r="AT5" s="133" t="s">
        <v>66</v>
      </c>
      <c r="AU5" s="133" t="s">
        <v>67</v>
      </c>
      <c r="AV5" s="133" t="s">
        <v>68</v>
      </c>
      <c r="AW5" s="133" t="s">
        <v>69</v>
      </c>
      <c r="AX5" s="133" t="s">
        <v>70</v>
      </c>
      <c r="AY5" s="133" t="s">
        <v>71</v>
      </c>
      <c r="AZ5" s="133" t="s">
        <v>72</v>
      </c>
      <c r="BA5" s="133" t="s">
        <v>73</v>
      </c>
      <c r="BB5" s="133" t="s">
        <v>74</v>
      </c>
      <c r="BC5" s="133" t="s">
        <v>75</v>
      </c>
      <c r="BD5" s="133" t="s">
        <v>79</v>
      </c>
      <c r="BE5" s="133" t="s">
        <v>80</v>
      </c>
      <c r="BF5" s="133" t="s">
        <v>81</v>
      </c>
      <c r="BG5" s="133" t="s">
        <v>82</v>
      </c>
      <c r="BH5" s="133" t="s">
        <v>89</v>
      </c>
      <c r="BI5" s="133" t="s">
        <v>94</v>
      </c>
      <c r="BJ5" s="133" t="s">
        <v>95</v>
      </c>
      <c r="BK5" s="133" t="s">
        <v>97</v>
      </c>
      <c r="BL5" s="133" t="s">
        <v>99</v>
      </c>
      <c r="BM5" s="133" t="s">
        <v>100</v>
      </c>
      <c r="BN5" s="133" t="s">
        <v>101</v>
      </c>
      <c r="BO5" s="133" t="s">
        <v>102</v>
      </c>
      <c r="BP5" s="133" t="s">
        <v>103</v>
      </c>
      <c r="BQ5" s="133" t="s">
        <v>104</v>
      </c>
      <c r="BR5" s="133" t="s">
        <v>106</v>
      </c>
      <c r="BS5" s="133" t="s">
        <v>107</v>
      </c>
      <c r="BT5" s="133" t="s">
        <v>108</v>
      </c>
      <c r="BU5" s="133" t="s">
        <v>134</v>
      </c>
      <c r="BV5" s="133" t="s">
        <v>135</v>
      </c>
      <c r="BW5" s="133" t="s">
        <v>137</v>
      </c>
      <c r="BX5" s="133" t="s">
        <v>138</v>
      </c>
      <c r="BY5" s="133" t="s">
        <v>139</v>
      </c>
      <c r="BZ5" s="133" t="s">
        <v>140</v>
      </c>
      <c r="CA5" s="133" t="s">
        <v>141</v>
      </c>
      <c r="CB5" s="133" t="s">
        <v>142</v>
      </c>
      <c r="CC5" s="133" t="s">
        <v>143</v>
      </c>
      <c r="CD5" s="133" t="s">
        <v>144</v>
      </c>
      <c r="CE5" s="133" t="s">
        <v>147</v>
      </c>
      <c r="CF5" s="133" t="s">
        <v>223</v>
      </c>
      <c r="CG5" s="219" t="s">
        <v>225</v>
      </c>
      <c r="CH5" s="219" t="s">
        <v>226</v>
      </c>
      <c r="CI5" s="219" t="s">
        <v>228</v>
      </c>
      <c r="CJ5" s="219" t="s">
        <v>229</v>
      </c>
      <c r="CK5" s="219" t="s">
        <v>230</v>
      </c>
      <c r="CL5" s="219" t="s">
        <v>231</v>
      </c>
      <c r="CM5" s="219" t="s">
        <v>233</v>
      </c>
      <c r="CN5" s="219" t="s">
        <v>249</v>
      </c>
      <c r="CO5" s="219" t="s">
        <v>251</v>
      </c>
      <c r="CP5" s="219" t="s">
        <v>252</v>
      </c>
      <c r="CQ5" s="219" t="s">
        <v>256</v>
      </c>
      <c r="CR5" s="219" t="s">
        <v>257</v>
      </c>
      <c r="CS5" s="219" t="s">
        <v>258</v>
      </c>
      <c r="CT5" s="219" t="s">
        <v>264</v>
      </c>
      <c r="CU5" s="144" t="s">
        <v>269</v>
      </c>
    </row>
    <row r="6" spans="1:102" x14ac:dyDescent="0.2">
      <c r="A6" s="6"/>
      <c r="C6" s="149"/>
      <c r="D6" s="9"/>
      <c r="E6" s="9"/>
      <c r="F6" s="9"/>
      <c r="G6" s="9"/>
      <c r="H6" s="9"/>
      <c r="I6" s="9"/>
      <c r="J6" s="9"/>
      <c r="K6" s="9"/>
      <c r="L6" s="9"/>
      <c r="M6" s="9"/>
      <c r="N6" s="9"/>
      <c r="O6" s="9"/>
      <c r="P6" s="9"/>
      <c r="Q6" s="9"/>
      <c r="R6" s="9"/>
      <c r="S6" s="9"/>
      <c r="T6" s="9"/>
      <c r="U6" s="9"/>
      <c r="V6" s="9"/>
      <c r="W6" s="9"/>
      <c r="X6" s="9"/>
      <c r="Y6" s="9"/>
      <c r="Z6" s="9"/>
      <c r="AA6" s="9"/>
      <c r="AB6" s="9"/>
      <c r="AC6" s="10"/>
      <c r="AD6" s="10"/>
      <c r="AE6" s="10"/>
      <c r="AF6" s="10"/>
      <c r="AG6" s="10"/>
      <c r="AH6" s="220"/>
      <c r="AI6" s="10"/>
      <c r="AJ6" s="149"/>
      <c r="AK6" s="221"/>
      <c r="AL6" s="149"/>
      <c r="AM6" s="221"/>
      <c r="AN6" s="149"/>
      <c r="AO6" s="149"/>
      <c r="AP6" s="149"/>
      <c r="AQ6" s="222"/>
      <c r="AR6" s="149"/>
      <c r="AS6" s="222"/>
      <c r="AT6" s="220"/>
      <c r="AU6" s="220"/>
      <c r="AV6" s="149"/>
      <c r="AW6" s="149"/>
      <c r="AX6" s="149"/>
      <c r="AY6" s="149"/>
      <c r="AZ6" s="149"/>
      <c r="BA6" s="149"/>
      <c r="BB6" s="149"/>
      <c r="BC6" s="149"/>
      <c r="BD6" s="149"/>
      <c r="BE6" s="149"/>
      <c r="BF6" s="149"/>
      <c r="BG6" s="220"/>
      <c r="BH6" s="220"/>
      <c r="BI6" s="9"/>
      <c r="BJ6" s="223"/>
      <c r="BK6" s="223"/>
      <c r="BL6" s="223"/>
      <c r="BM6" s="223"/>
      <c r="BN6" s="149"/>
      <c r="BO6" s="149"/>
      <c r="BP6" s="221"/>
      <c r="BQ6" s="149"/>
      <c r="BR6" s="221"/>
      <c r="BS6" s="149"/>
      <c r="BT6" s="149"/>
      <c r="BU6" s="149"/>
      <c r="BV6" s="149"/>
      <c r="BW6" s="220"/>
      <c r="BX6" s="220"/>
      <c r="BY6" s="220"/>
      <c r="BZ6" s="149"/>
      <c r="CA6" s="149"/>
      <c r="CB6" s="149"/>
      <c r="CC6" s="149"/>
      <c r="CD6" s="149"/>
      <c r="CE6" s="149"/>
      <c r="CF6" s="149"/>
      <c r="CG6" s="149"/>
      <c r="CH6" s="149"/>
      <c r="CI6" s="149"/>
      <c r="CJ6" s="149"/>
      <c r="CK6" s="149"/>
      <c r="CL6" s="149"/>
      <c r="CM6" s="149"/>
      <c r="CN6" s="149"/>
      <c r="CO6" s="149"/>
      <c r="CP6" s="149"/>
      <c r="CQ6" s="149"/>
      <c r="CR6" s="222"/>
      <c r="CS6" s="222"/>
      <c r="CT6" s="222"/>
      <c r="CU6" s="148"/>
    </row>
    <row r="7" spans="1:102" s="188" customFormat="1" x14ac:dyDescent="0.2">
      <c r="A7" s="134" t="s">
        <v>83</v>
      </c>
      <c r="B7" s="224"/>
      <c r="C7" s="12"/>
      <c r="D7" s="12"/>
      <c r="E7" s="12"/>
      <c r="F7" s="12"/>
      <c r="G7" s="12"/>
      <c r="H7" s="12"/>
      <c r="I7" s="12"/>
      <c r="J7" s="12"/>
      <c r="K7" s="12"/>
      <c r="L7" s="12"/>
      <c r="M7" s="12"/>
      <c r="N7" s="12"/>
      <c r="O7" s="12"/>
      <c r="P7" s="12"/>
      <c r="Q7" s="12"/>
      <c r="R7" s="12"/>
      <c r="S7" s="12"/>
      <c r="T7" s="12"/>
      <c r="U7" s="12"/>
      <c r="V7" s="12"/>
      <c r="W7" s="12"/>
      <c r="X7" s="12"/>
      <c r="Y7" s="12"/>
      <c r="Z7" s="12"/>
      <c r="AA7" s="12"/>
      <c r="AB7" s="12"/>
      <c r="AC7" s="13"/>
      <c r="AD7" s="13"/>
      <c r="AE7" s="13"/>
      <c r="AF7" s="13"/>
      <c r="AG7" s="13"/>
      <c r="AH7" s="13"/>
      <c r="AI7" s="13"/>
      <c r="AJ7" s="12"/>
      <c r="AK7" s="225"/>
      <c r="AL7" s="12"/>
      <c r="AM7" s="225"/>
      <c r="AN7" s="12"/>
      <c r="AO7" s="12"/>
      <c r="AP7" s="12"/>
      <c r="AQ7" s="225"/>
      <c r="AR7" s="12"/>
      <c r="AS7" s="225"/>
      <c r="AT7" s="13"/>
      <c r="AU7" s="13"/>
      <c r="AV7" s="12"/>
      <c r="AW7" s="12"/>
      <c r="AX7" s="12"/>
      <c r="AY7" s="12"/>
      <c r="AZ7" s="12"/>
      <c r="BA7" s="12"/>
      <c r="BB7" s="12"/>
      <c r="BC7" s="12"/>
      <c r="BD7" s="12"/>
      <c r="BE7" s="12"/>
      <c r="BF7" s="12"/>
      <c r="BG7" s="13"/>
      <c r="BH7" s="13"/>
      <c r="BI7" s="12"/>
      <c r="BJ7" s="226"/>
      <c r="BK7" s="226"/>
      <c r="BL7" s="226"/>
      <c r="BM7" s="226"/>
      <c r="BN7" s="12"/>
      <c r="BO7" s="12"/>
      <c r="BP7" s="225"/>
      <c r="BQ7" s="12"/>
      <c r="BR7" s="225"/>
      <c r="BS7" s="12"/>
      <c r="BT7" s="12"/>
      <c r="BU7" s="12"/>
      <c r="BV7" s="12"/>
      <c r="BW7" s="13"/>
      <c r="BX7" s="13"/>
      <c r="BY7" s="13"/>
      <c r="BZ7" s="12"/>
      <c r="CA7" s="12"/>
      <c r="CB7" s="12"/>
      <c r="CC7" s="12"/>
      <c r="CD7" s="12"/>
      <c r="CE7" s="12"/>
      <c r="CF7" s="12"/>
      <c r="CG7" s="12"/>
      <c r="CH7" s="12"/>
      <c r="CI7" s="12"/>
      <c r="CJ7" s="12"/>
      <c r="CK7" s="12"/>
      <c r="CL7" s="12"/>
      <c r="CM7" s="12"/>
      <c r="CN7" s="12"/>
      <c r="CO7" s="12"/>
      <c r="CP7" s="12"/>
      <c r="CQ7" s="12"/>
      <c r="CR7" s="225"/>
      <c r="CS7" s="225"/>
      <c r="CT7" s="225"/>
      <c r="CU7" s="335"/>
    </row>
    <row r="8" spans="1:102" x14ac:dyDescent="0.2">
      <c r="A8" s="6"/>
      <c r="C8" s="14"/>
      <c r="D8" s="14"/>
      <c r="E8" s="14"/>
      <c r="F8" s="14"/>
      <c r="G8" s="14"/>
      <c r="H8" s="14"/>
      <c r="I8" s="14"/>
      <c r="J8" s="14"/>
      <c r="K8" s="14"/>
      <c r="L8" s="14"/>
      <c r="M8" s="14"/>
      <c r="N8" s="14"/>
      <c r="O8" s="14"/>
      <c r="P8" s="14"/>
      <c r="Q8" s="14"/>
      <c r="R8" s="14"/>
      <c r="S8" s="14"/>
      <c r="T8" s="14"/>
      <c r="U8" s="14"/>
      <c r="V8" s="14"/>
      <c r="W8" s="14"/>
      <c r="X8" s="14"/>
      <c r="Y8" s="14"/>
      <c r="Z8" s="14"/>
      <c r="AA8" s="14"/>
      <c r="AB8" s="14"/>
      <c r="AC8" s="15"/>
      <c r="AD8" s="15"/>
      <c r="AE8" s="15"/>
      <c r="AF8" s="15"/>
      <c r="AG8" s="227"/>
      <c r="AH8" s="227"/>
      <c r="AI8" s="15"/>
      <c r="AJ8" s="14"/>
      <c r="AK8" s="4"/>
      <c r="AL8" s="14"/>
      <c r="AM8" s="227"/>
      <c r="AN8" s="14"/>
      <c r="AO8" s="14"/>
      <c r="AP8" s="14"/>
      <c r="AQ8" s="228"/>
      <c r="AR8" s="14"/>
      <c r="AS8" s="4"/>
      <c r="AT8" s="15"/>
      <c r="AU8" s="15"/>
      <c r="AV8" s="14"/>
      <c r="AW8" s="14"/>
      <c r="AX8" s="14"/>
      <c r="AY8" s="14"/>
      <c r="AZ8" s="14"/>
      <c r="BA8" s="14"/>
      <c r="BB8" s="14"/>
      <c r="BC8" s="14"/>
      <c r="BD8" s="14"/>
      <c r="BE8" s="14"/>
      <c r="BF8" s="14"/>
      <c r="BG8" s="15"/>
      <c r="BH8" s="15"/>
      <c r="BI8" s="14"/>
      <c r="BJ8" s="16"/>
      <c r="BK8" s="16"/>
      <c r="BL8" s="16"/>
      <c r="BM8" s="16"/>
      <c r="BN8" s="14"/>
      <c r="BO8" s="14"/>
      <c r="BP8" s="4"/>
      <c r="BQ8" s="14"/>
      <c r="BR8" s="4"/>
      <c r="BS8" s="14"/>
      <c r="BT8" s="14"/>
      <c r="BU8" s="14"/>
      <c r="BV8" s="14"/>
      <c r="BW8" s="15"/>
      <c r="BX8" s="15"/>
      <c r="BY8" s="15"/>
      <c r="BZ8" s="14"/>
      <c r="CA8" s="14"/>
      <c r="CB8" s="14"/>
      <c r="CC8" s="14"/>
      <c r="CD8" s="14"/>
      <c r="CE8" s="14"/>
      <c r="CF8" s="14"/>
      <c r="CG8" s="14"/>
      <c r="CH8" s="14"/>
      <c r="CI8" s="14"/>
      <c r="CJ8" s="14"/>
      <c r="CK8" s="14"/>
      <c r="CL8" s="14"/>
      <c r="CM8" s="14"/>
      <c r="CN8" s="14"/>
      <c r="CO8" s="14"/>
      <c r="CP8" s="14"/>
      <c r="CQ8" s="14"/>
      <c r="CR8" s="227"/>
      <c r="CS8" s="227"/>
      <c r="CT8" s="227"/>
      <c r="CU8" s="339"/>
    </row>
    <row r="9" spans="1:102" x14ac:dyDescent="0.2">
      <c r="A9" s="135" t="s">
        <v>215</v>
      </c>
      <c r="C9" s="14"/>
      <c r="D9" s="14"/>
      <c r="E9" s="14"/>
      <c r="F9" s="14"/>
      <c r="G9" s="14"/>
      <c r="H9" s="14"/>
      <c r="I9" s="14"/>
      <c r="J9" s="14"/>
      <c r="K9" s="14"/>
      <c r="L9" s="14"/>
      <c r="M9" s="14"/>
      <c r="N9" s="14"/>
      <c r="O9" s="14"/>
      <c r="P9" s="14"/>
      <c r="Q9" s="14"/>
      <c r="R9" s="14"/>
      <c r="S9" s="14"/>
      <c r="T9" s="14"/>
      <c r="U9" s="14"/>
      <c r="V9" s="14"/>
      <c r="W9" s="14"/>
      <c r="X9" s="14"/>
      <c r="Y9" s="14"/>
      <c r="Z9" s="14"/>
      <c r="AA9" s="14"/>
      <c r="AB9" s="14"/>
      <c r="AC9" s="15"/>
      <c r="AD9" s="15"/>
      <c r="AE9" s="15"/>
      <c r="AF9" s="15"/>
      <c r="AG9" s="15"/>
      <c r="AH9" s="15"/>
      <c r="AI9" s="15"/>
      <c r="AJ9" s="14"/>
      <c r="AK9" s="4"/>
      <c r="AL9" s="14"/>
      <c r="AM9" s="15"/>
      <c r="AN9" s="14"/>
      <c r="AO9" s="14"/>
      <c r="AP9" s="14"/>
      <c r="AQ9" s="14"/>
      <c r="AR9" s="14"/>
      <c r="AS9" s="4"/>
      <c r="AT9" s="15"/>
      <c r="AU9" s="15"/>
      <c r="AV9" s="14"/>
      <c r="AW9" s="14"/>
      <c r="AX9" s="14"/>
      <c r="AY9" s="14"/>
      <c r="AZ9" s="14"/>
      <c r="BA9" s="14"/>
      <c r="BB9" s="14"/>
      <c r="BC9" s="14"/>
      <c r="BD9" s="14"/>
      <c r="BE9" s="14"/>
      <c r="BF9" s="14"/>
      <c r="BG9" s="15"/>
      <c r="BH9" s="15"/>
      <c r="BI9" s="14"/>
      <c r="BJ9" s="16"/>
      <c r="BK9" s="16"/>
      <c r="BL9" s="16"/>
      <c r="BM9" s="16"/>
      <c r="BN9" s="14"/>
      <c r="BO9" s="14"/>
      <c r="BP9" s="4"/>
      <c r="BQ9" s="14"/>
      <c r="BR9" s="4"/>
      <c r="BS9" s="14"/>
      <c r="BT9" s="14"/>
      <c r="BU9" s="14"/>
      <c r="BV9" s="14"/>
      <c r="BW9" s="15"/>
      <c r="BX9" s="15"/>
      <c r="BY9" s="15"/>
      <c r="BZ9" s="14"/>
      <c r="CA9" s="14"/>
      <c r="CB9" s="14"/>
      <c r="CC9" s="14"/>
      <c r="CD9" s="14"/>
      <c r="CE9" s="14"/>
      <c r="CF9" s="14"/>
      <c r="CG9" s="14"/>
      <c r="CH9" s="14"/>
      <c r="CI9" s="14"/>
      <c r="CJ9" s="14"/>
      <c r="CK9" s="14"/>
      <c r="CL9" s="14"/>
      <c r="CM9" s="14"/>
      <c r="CN9" s="14"/>
      <c r="CO9" s="14"/>
      <c r="CP9" s="14"/>
      <c r="CQ9" s="14"/>
      <c r="CR9" s="15"/>
      <c r="CS9" s="15"/>
      <c r="CT9" s="15"/>
      <c r="CU9" s="17"/>
    </row>
    <row r="10" spans="1:102" x14ac:dyDescent="0.2">
      <c r="A10" s="23" t="s">
        <v>26</v>
      </c>
      <c r="B10" s="231"/>
      <c r="C10" s="24">
        <v>15.9</v>
      </c>
      <c r="D10" s="24">
        <v>10.6</v>
      </c>
      <c r="E10" s="24">
        <v>9.3000000000000007</v>
      </c>
      <c r="F10" s="24">
        <v>26.2</v>
      </c>
      <c r="G10" s="24">
        <v>20.100000000000001</v>
      </c>
      <c r="H10" s="24">
        <v>14</v>
      </c>
      <c r="I10" s="24">
        <v>17.600000000000001</v>
      </c>
      <c r="J10" s="24">
        <v>28.1</v>
      </c>
      <c r="K10" s="24">
        <v>18.7</v>
      </c>
      <c r="L10" s="24">
        <v>19.899999999999999</v>
      </c>
      <c r="M10" s="24">
        <v>30</v>
      </c>
      <c r="N10" s="24">
        <v>32.4</v>
      </c>
      <c r="O10" s="24">
        <v>52.7</v>
      </c>
      <c r="P10" s="24">
        <v>31.1</v>
      </c>
      <c r="Q10" s="24">
        <v>24.1</v>
      </c>
      <c r="R10" s="24">
        <v>33</v>
      </c>
      <c r="S10" s="24">
        <v>36.9</v>
      </c>
      <c r="T10" s="24">
        <v>39.799999999999997</v>
      </c>
      <c r="U10" s="24">
        <v>47.8</v>
      </c>
      <c r="V10" s="24">
        <v>53.2</v>
      </c>
      <c r="W10" s="24">
        <v>79.7</v>
      </c>
      <c r="X10" s="24">
        <v>76.599999999999994</v>
      </c>
      <c r="Y10" s="24">
        <v>52.3</v>
      </c>
      <c r="Z10" s="24">
        <v>70.900000000000006</v>
      </c>
      <c r="AA10" s="24">
        <v>84.5</v>
      </c>
      <c r="AB10" s="24">
        <v>67.8</v>
      </c>
      <c r="AC10" s="25">
        <v>72.552000000000007</v>
      </c>
      <c r="AD10" s="25">
        <v>79</v>
      </c>
      <c r="AE10" s="25">
        <v>77.5</v>
      </c>
      <c r="AF10" s="25">
        <v>60.4</v>
      </c>
      <c r="AG10" s="25">
        <v>63.1</v>
      </c>
      <c r="AH10" s="25">
        <v>75</v>
      </c>
      <c r="AI10" s="25">
        <v>69.489000000000004</v>
      </c>
      <c r="AJ10" s="24">
        <v>94</v>
      </c>
      <c r="AK10" s="232">
        <v>86</v>
      </c>
      <c r="AL10" s="24">
        <v>93.2</v>
      </c>
      <c r="AM10" s="25">
        <v>97</v>
      </c>
      <c r="AN10" s="24">
        <v>99</v>
      </c>
      <c r="AO10" s="24">
        <v>80</v>
      </c>
      <c r="AP10" s="24">
        <v>96.1</v>
      </c>
      <c r="AQ10" s="24">
        <v>98.1</v>
      </c>
      <c r="AR10" s="24">
        <v>75</v>
      </c>
      <c r="AS10" s="232">
        <v>100</v>
      </c>
      <c r="AT10" s="25">
        <v>79</v>
      </c>
      <c r="AU10" s="25">
        <v>81</v>
      </c>
      <c r="AV10" s="24">
        <v>64</v>
      </c>
      <c r="AW10" s="24">
        <v>57</v>
      </c>
      <c r="AX10" s="24">
        <v>56</v>
      </c>
      <c r="AY10" s="24">
        <v>75</v>
      </c>
      <c r="AZ10" s="24">
        <v>61</v>
      </c>
      <c r="BA10" s="24">
        <v>75</v>
      </c>
      <c r="BB10" s="24">
        <v>79</v>
      </c>
      <c r="BC10" s="24">
        <v>89.7</v>
      </c>
      <c r="BD10" s="24">
        <v>70.900000000000006</v>
      </c>
      <c r="BE10" s="24">
        <v>77.599999999999994</v>
      </c>
      <c r="BF10" s="24">
        <v>94.3</v>
      </c>
      <c r="BG10" s="25">
        <v>128</v>
      </c>
      <c r="BH10" s="25">
        <v>124</v>
      </c>
      <c r="BI10" s="24">
        <v>130.6</v>
      </c>
      <c r="BJ10" s="170">
        <v>167.339</v>
      </c>
      <c r="BK10" s="170">
        <v>146.1</v>
      </c>
      <c r="BL10" s="170">
        <v>126.5</v>
      </c>
      <c r="BM10" s="170">
        <v>130.80000000000001</v>
      </c>
      <c r="BN10" s="24">
        <v>139.4</v>
      </c>
      <c r="BO10" s="24">
        <v>139.80000000000001</v>
      </c>
      <c r="BP10" s="232">
        <v>118.46</v>
      </c>
      <c r="BQ10" s="24">
        <v>125.64</v>
      </c>
      <c r="BR10" s="232">
        <v>144.21199999999999</v>
      </c>
      <c r="BS10" s="24">
        <v>143.54900000000001</v>
      </c>
      <c r="BT10" s="24">
        <v>112.039</v>
      </c>
      <c r="BU10" s="24">
        <v>132.32</v>
      </c>
      <c r="BV10" s="24">
        <v>132.44451273999999</v>
      </c>
      <c r="BW10" s="25">
        <v>133.83386989999991</v>
      </c>
      <c r="BX10" s="25">
        <v>126.21776198000001</v>
      </c>
      <c r="BY10" s="25">
        <v>150.08864187</v>
      </c>
      <c r="BZ10" s="24">
        <v>146.06296796999999</v>
      </c>
      <c r="CA10" s="24">
        <v>305.82469223000044</v>
      </c>
      <c r="CB10" s="24">
        <v>299.27135867999868</v>
      </c>
      <c r="CC10" s="24">
        <v>327.35369188999999</v>
      </c>
      <c r="CD10" s="24">
        <v>339.17945001999999</v>
      </c>
      <c r="CE10" s="24">
        <v>515.29590185999996</v>
      </c>
      <c r="CF10" s="24">
        <v>386.54888596000001</v>
      </c>
      <c r="CG10" s="24">
        <v>381.86635407000102</v>
      </c>
      <c r="CH10" s="24">
        <v>406.22233024000002</v>
      </c>
      <c r="CI10" s="24">
        <v>380.55620202000068</v>
      </c>
      <c r="CJ10" s="24">
        <v>249.9374841700004</v>
      </c>
      <c r="CK10" s="24">
        <v>251.1671692200004</v>
      </c>
      <c r="CL10" s="24">
        <v>229.75811076999989</v>
      </c>
      <c r="CM10" s="24">
        <v>266.77981221000022</v>
      </c>
      <c r="CN10" s="24">
        <v>206.54236152999999</v>
      </c>
      <c r="CO10" s="24">
        <v>196.33119713000011</v>
      </c>
      <c r="CP10" s="24">
        <v>192.03507350999999</v>
      </c>
      <c r="CQ10" s="24">
        <v>253.49309981000019</v>
      </c>
      <c r="CR10" s="25">
        <v>247.5185018100052</v>
      </c>
      <c r="CS10" s="25">
        <v>265.24711145999993</v>
      </c>
      <c r="CT10" s="25">
        <v>299.97489159999998</v>
      </c>
      <c r="CU10" s="69">
        <v>375.23074540999988</v>
      </c>
    </row>
    <row r="11" spans="1:102" x14ac:dyDescent="0.2">
      <c r="A11" s="23" t="s">
        <v>29</v>
      </c>
      <c r="B11" s="231"/>
      <c r="C11" s="24">
        <v>-2.8</v>
      </c>
      <c r="D11" s="24">
        <v>-2.2000000000000002</v>
      </c>
      <c r="E11" s="24">
        <v>-1.7</v>
      </c>
      <c r="F11" s="24">
        <v>-3.5</v>
      </c>
      <c r="G11" s="24">
        <v>-2.6</v>
      </c>
      <c r="H11" s="24">
        <v>-1.8</v>
      </c>
      <c r="I11" s="24">
        <v>-2.5</v>
      </c>
      <c r="J11" s="24">
        <v>-3.1</v>
      </c>
      <c r="K11" s="24">
        <v>-2.2000000000000002</v>
      </c>
      <c r="L11" s="24">
        <v>-2.4</v>
      </c>
      <c r="M11" s="24">
        <v>-3.5</v>
      </c>
      <c r="N11" s="24">
        <v>-3.9</v>
      </c>
      <c r="O11" s="24">
        <v>-6.2</v>
      </c>
      <c r="P11" s="24">
        <v>-4.3</v>
      </c>
      <c r="Q11" s="24">
        <v>-3.4</v>
      </c>
      <c r="R11" s="24">
        <v>-3.9</v>
      </c>
      <c r="S11" s="24">
        <v>-4.5999999999999996</v>
      </c>
      <c r="T11" s="24">
        <v>-5.2</v>
      </c>
      <c r="U11" s="24">
        <v>-6.3</v>
      </c>
      <c r="V11" s="24">
        <v>-7.4</v>
      </c>
      <c r="W11" s="24">
        <v>-9.5</v>
      </c>
      <c r="X11" s="24">
        <v>-9.6</v>
      </c>
      <c r="Y11" s="24">
        <v>-8.8000000000000007</v>
      </c>
      <c r="Z11" s="24">
        <v>-11.9</v>
      </c>
      <c r="AA11" s="24">
        <v>-13.2</v>
      </c>
      <c r="AB11" s="24">
        <v>-11</v>
      </c>
      <c r="AC11" s="25">
        <v>-12.037000000000001</v>
      </c>
      <c r="AD11" s="25">
        <v>-12</v>
      </c>
      <c r="AE11" s="25">
        <v>-13.49</v>
      </c>
      <c r="AF11" s="25">
        <v>-10.48</v>
      </c>
      <c r="AG11" s="25">
        <v>-9.6999999999999993</v>
      </c>
      <c r="AH11" s="25">
        <v>-13</v>
      </c>
      <c r="AI11" s="25">
        <v>-11.12</v>
      </c>
      <c r="AJ11" s="24">
        <v>-12</v>
      </c>
      <c r="AK11" s="232">
        <v>-9</v>
      </c>
      <c r="AL11" s="24">
        <v>-10.7</v>
      </c>
      <c r="AM11" s="25">
        <v>-10</v>
      </c>
      <c r="AN11" s="24">
        <v>-12</v>
      </c>
      <c r="AO11" s="24">
        <v>-10</v>
      </c>
      <c r="AP11" s="24">
        <v>-11.2</v>
      </c>
      <c r="AQ11" s="24">
        <v>-10.6</v>
      </c>
      <c r="AR11" s="24">
        <v>-11</v>
      </c>
      <c r="AS11" s="232">
        <v>-13</v>
      </c>
      <c r="AT11" s="25">
        <v>-12</v>
      </c>
      <c r="AU11" s="25">
        <v>-11</v>
      </c>
      <c r="AV11" s="24">
        <v>-11</v>
      </c>
      <c r="AW11" s="24">
        <v>-10</v>
      </c>
      <c r="AX11" s="24">
        <v>-10</v>
      </c>
      <c r="AY11" s="24">
        <v>-11</v>
      </c>
      <c r="AZ11" s="24">
        <v>-10</v>
      </c>
      <c r="BA11" s="24">
        <v>-12</v>
      </c>
      <c r="BB11" s="24">
        <v>-12</v>
      </c>
      <c r="BC11" s="24">
        <v>-12.3</v>
      </c>
      <c r="BD11" s="24">
        <v>-10.1</v>
      </c>
      <c r="BE11" s="24">
        <v>-11</v>
      </c>
      <c r="BF11" s="24">
        <v>-13.4</v>
      </c>
      <c r="BG11" s="25">
        <v>-15</v>
      </c>
      <c r="BH11" s="25">
        <v>-16</v>
      </c>
      <c r="BI11" s="24">
        <v>-18.100000000000001</v>
      </c>
      <c r="BJ11" s="170">
        <v>-21.6</v>
      </c>
      <c r="BK11" s="170">
        <v>-20.9</v>
      </c>
      <c r="BL11" s="170">
        <v>-16.899999999999999</v>
      </c>
      <c r="BM11" s="170">
        <v>-17.8</v>
      </c>
      <c r="BN11" s="24">
        <v>-17.8</v>
      </c>
      <c r="BO11" s="24">
        <v>-18.100000000000001</v>
      </c>
      <c r="BP11" s="232">
        <v>-18.2</v>
      </c>
      <c r="BQ11" s="24">
        <v>-19.97</v>
      </c>
      <c r="BR11" s="232">
        <v>-22.373999999999999</v>
      </c>
      <c r="BS11" s="24">
        <v>-21.917000000000002</v>
      </c>
      <c r="BT11" s="24">
        <v>-20.448</v>
      </c>
      <c r="BU11" s="24">
        <v>-21.335000000000001</v>
      </c>
      <c r="BV11" s="24">
        <v>-21.399820720000001</v>
      </c>
      <c r="BW11" s="25">
        <v>-21.526510200000001</v>
      </c>
      <c r="BX11" s="25">
        <v>-21.38122937</v>
      </c>
      <c r="BY11" s="25">
        <v>-24.401146069999999</v>
      </c>
      <c r="BZ11" s="24">
        <v>-23.01624962</v>
      </c>
      <c r="CA11" s="24">
        <v>-37.972476911072008</v>
      </c>
      <c r="CB11" s="24">
        <v>-39.206426276608006</v>
      </c>
      <c r="CC11" s="24">
        <v>-44.653204286608002</v>
      </c>
      <c r="CD11" s="24">
        <v>-47.753498075712002</v>
      </c>
      <c r="CE11" s="24">
        <v>-76.642578404436009</v>
      </c>
      <c r="CF11" s="24">
        <v>-52.839965013307932</v>
      </c>
      <c r="CG11" s="24">
        <v>-52.133207353308002</v>
      </c>
      <c r="CH11" s="24">
        <v>-52.339005788948</v>
      </c>
      <c r="CI11" s="24">
        <v>-52.160826040000039</v>
      </c>
      <c r="CJ11" s="24">
        <v>-34.604061040000033</v>
      </c>
      <c r="CK11" s="24">
        <v>-34.839288309999993</v>
      </c>
      <c r="CL11" s="24">
        <v>-33.924677170000002</v>
      </c>
      <c r="CM11" s="24">
        <v>-38.041336249999993</v>
      </c>
      <c r="CN11" s="24">
        <v>-34.344777439999987</v>
      </c>
      <c r="CO11" s="24">
        <v>-34.774215340000019</v>
      </c>
      <c r="CP11" s="24">
        <v>-30.540894470000001</v>
      </c>
      <c r="CQ11" s="24">
        <v>-36.825248870000003</v>
      </c>
      <c r="CR11" s="25">
        <v>-35.891934820000003</v>
      </c>
      <c r="CS11" s="25">
        <v>-38.482933980000013</v>
      </c>
      <c r="CT11" s="25">
        <v>-43.568599489999997</v>
      </c>
      <c r="CU11" s="69">
        <v>-52.700354370000007</v>
      </c>
    </row>
    <row r="12" spans="1:102" s="188" customFormat="1" x14ac:dyDescent="0.2">
      <c r="A12" s="27" t="s">
        <v>30</v>
      </c>
      <c r="B12" s="233"/>
      <c r="C12" s="28">
        <f t="shared" ref="C12:BF12" si="0">SUM(C10:C11)</f>
        <v>13.100000000000001</v>
      </c>
      <c r="D12" s="28">
        <f t="shared" si="0"/>
        <v>8.3999999999999986</v>
      </c>
      <c r="E12" s="28">
        <f t="shared" si="0"/>
        <v>7.6000000000000005</v>
      </c>
      <c r="F12" s="28">
        <f t="shared" si="0"/>
        <v>22.7</v>
      </c>
      <c r="G12" s="28">
        <f t="shared" si="0"/>
        <v>17.5</v>
      </c>
      <c r="H12" s="28">
        <f t="shared" si="0"/>
        <v>12.2</v>
      </c>
      <c r="I12" s="28">
        <f t="shared" si="0"/>
        <v>15.100000000000001</v>
      </c>
      <c r="J12" s="28">
        <f t="shared" si="0"/>
        <v>25</v>
      </c>
      <c r="K12" s="28">
        <f t="shared" si="0"/>
        <v>16.5</v>
      </c>
      <c r="L12" s="28">
        <f t="shared" si="0"/>
        <v>17.5</v>
      </c>
      <c r="M12" s="28">
        <f t="shared" si="0"/>
        <v>26.5</v>
      </c>
      <c r="N12" s="28">
        <f t="shared" si="0"/>
        <v>28.5</v>
      </c>
      <c r="O12" s="28">
        <f t="shared" si="0"/>
        <v>46.5</v>
      </c>
      <c r="P12" s="28">
        <f t="shared" si="0"/>
        <v>26.8</v>
      </c>
      <c r="Q12" s="28">
        <f t="shared" si="0"/>
        <v>20.700000000000003</v>
      </c>
      <c r="R12" s="28">
        <f t="shared" si="0"/>
        <v>29.1</v>
      </c>
      <c r="S12" s="28">
        <f t="shared" si="0"/>
        <v>32.299999999999997</v>
      </c>
      <c r="T12" s="28">
        <f t="shared" si="0"/>
        <v>34.599999999999994</v>
      </c>
      <c r="U12" s="28">
        <f t="shared" si="0"/>
        <v>41.5</v>
      </c>
      <c r="V12" s="28">
        <f t="shared" si="0"/>
        <v>45.800000000000004</v>
      </c>
      <c r="W12" s="28">
        <f t="shared" si="0"/>
        <v>70.2</v>
      </c>
      <c r="X12" s="28">
        <f t="shared" si="0"/>
        <v>67</v>
      </c>
      <c r="Y12" s="28">
        <f t="shared" si="0"/>
        <v>43.5</v>
      </c>
      <c r="Z12" s="28">
        <f t="shared" si="0"/>
        <v>59.000000000000007</v>
      </c>
      <c r="AA12" s="28">
        <f t="shared" si="0"/>
        <v>71.3</v>
      </c>
      <c r="AB12" s="28">
        <f t="shared" si="0"/>
        <v>56.8</v>
      </c>
      <c r="AC12" s="234">
        <f t="shared" si="0"/>
        <v>60.515000000000008</v>
      </c>
      <c r="AD12" s="235">
        <f t="shared" si="0"/>
        <v>67</v>
      </c>
      <c r="AE12" s="235">
        <f t="shared" si="0"/>
        <v>64.010000000000005</v>
      </c>
      <c r="AF12" s="235">
        <f t="shared" si="0"/>
        <v>49.92</v>
      </c>
      <c r="AG12" s="235">
        <f t="shared" si="0"/>
        <v>53.400000000000006</v>
      </c>
      <c r="AH12" s="235">
        <f t="shared" si="0"/>
        <v>62</v>
      </c>
      <c r="AI12" s="235">
        <f t="shared" si="0"/>
        <v>58.369000000000007</v>
      </c>
      <c r="AJ12" s="28">
        <f t="shared" si="0"/>
        <v>82</v>
      </c>
      <c r="AK12" s="235">
        <f t="shared" si="0"/>
        <v>77</v>
      </c>
      <c r="AL12" s="28">
        <f t="shared" si="0"/>
        <v>82.5</v>
      </c>
      <c r="AM12" s="235">
        <f t="shared" si="0"/>
        <v>87</v>
      </c>
      <c r="AN12" s="28">
        <f t="shared" si="0"/>
        <v>87</v>
      </c>
      <c r="AO12" s="28">
        <f t="shared" si="0"/>
        <v>70</v>
      </c>
      <c r="AP12" s="28">
        <f t="shared" si="0"/>
        <v>84.899999999999991</v>
      </c>
      <c r="AQ12" s="28">
        <f t="shared" si="0"/>
        <v>87.5</v>
      </c>
      <c r="AR12" s="28">
        <f t="shared" si="0"/>
        <v>64</v>
      </c>
      <c r="AS12" s="234">
        <f t="shared" si="0"/>
        <v>87</v>
      </c>
      <c r="AT12" s="235">
        <f t="shared" si="0"/>
        <v>67</v>
      </c>
      <c r="AU12" s="235">
        <f t="shared" si="0"/>
        <v>70</v>
      </c>
      <c r="AV12" s="28">
        <f t="shared" si="0"/>
        <v>53</v>
      </c>
      <c r="AW12" s="28">
        <f t="shared" si="0"/>
        <v>47</v>
      </c>
      <c r="AX12" s="28">
        <f t="shared" si="0"/>
        <v>46</v>
      </c>
      <c r="AY12" s="28">
        <f t="shared" si="0"/>
        <v>64</v>
      </c>
      <c r="AZ12" s="28">
        <f t="shared" si="0"/>
        <v>51</v>
      </c>
      <c r="BA12" s="28">
        <f t="shared" si="0"/>
        <v>63</v>
      </c>
      <c r="BB12" s="28">
        <f t="shared" si="0"/>
        <v>67</v>
      </c>
      <c r="BC12" s="28">
        <f t="shared" si="0"/>
        <v>77.400000000000006</v>
      </c>
      <c r="BD12" s="28">
        <f t="shared" si="0"/>
        <v>60.800000000000004</v>
      </c>
      <c r="BE12" s="28">
        <f t="shared" si="0"/>
        <v>66.599999999999994</v>
      </c>
      <c r="BF12" s="28">
        <f t="shared" si="0"/>
        <v>80.899999999999991</v>
      </c>
      <c r="BG12" s="28">
        <v>113</v>
      </c>
      <c r="BH12" s="29">
        <f t="shared" ref="BH12:CQ12" si="1">SUM(BH10:BH11)</f>
        <v>108</v>
      </c>
      <c r="BI12" s="234">
        <f t="shared" si="1"/>
        <v>112.5</v>
      </c>
      <c r="BJ12" s="28">
        <f t="shared" si="1"/>
        <v>145.739</v>
      </c>
      <c r="BK12" s="28">
        <f t="shared" si="1"/>
        <v>125.19999999999999</v>
      </c>
      <c r="BL12" s="28">
        <f t="shared" si="1"/>
        <v>109.6</v>
      </c>
      <c r="BM12" s="28">
        <f t="shared" si="1"/>
        <v>113.00000000000001</v>
      </c>
      <c r="BN12" s="28">
        <f t="shared" si="1"/>
        <v>121.60000000000001</v>
      </c>
      <c r="BO12" s="28">
        <f t="shared" si="1"/>
        <v>121.70000000000002</v>
      </c>
      <c r="BP12" s="234">
        <f t="shared" si="1"/>
        <v>100.25999999999999</v>
      </c>
      <c r="BQ12" s="28">
        <f t="shared" si="1"/>
        <v>105.67</v>
      </c>
      <c r="BR12" s="28">
        <f t="shared" si="1"/>
        <v>121.83799999999999</v>
      </c>
      <c r="BS12" s="28">
        <f t="shared" si="1"/>
        <v>121.63200000000001</v>
      </c>
      <c r="BT12" s="28">
        <f t="shared" si="1"/>
        <v>91.591000000000008</v>
      </c>
      <c r="BU12" s="28">
        <f t="shared" si="1"/>
        <v>110.98499999999999</v>
      </c>
      <c r="BV12" s="28">
        <f t="shared" si="1"/>
        <v>111.04469201999999</v>
      </c>
      <c r="BW12" s="235">
        <f t="shared" si="1"/>
        <v>112.30735969999991</v>
      </c>
      <c r="BX12" s="235">
        <f t="shared" si="1"/>
        <v>104.83653261000001</v>
      </c>
      <c r="BY12" s="235">
        <f t="shared" si="1"/>
        <v>125.68749580000001</v>
      </c>
      <c r="BZ12" s="28">
        <f t="shared" si="1"/>
        <v>123.04671834999999</v>
      </c>
      <c r="CA12" s="28">
        <f t="shared" si="1"/>
        <v>267.85221531892842</v>
      </c>
      <c r="CB12" s="28">
        <f t="shared" si="1"/>
        <v>260.06493240339069</v>
      </c>
      <c r="CC12" s="28">
        <f t="shared" si="1"/>
        <v>282.70048760339199</v>
      </c>
      <c r="CD12" s="28">
        <f t="shared" si="1"/>
        <v>291.42595194428799</v>
      </c>
      <c r="CE12" s="28">
        <f t="shared" si="1"/>
        <v>438.65332345556396</v>
      </c>
      <c r="CF12" s="28">
        <f t="shared" si="1"/>
        <v>333.70892094669205</v>
      </c>
      <c r="CG12" s="28">
        <f t="shared" si="1"/>
        <v>329.733146716693</v>
      </c>
      <c r="CH12" s="28">
        <f t="shared" si="1"/>
        <v>353.88332445105203</v>
      </c>
      <c r="CI12" s="28">
        <f t="shared" si="1"/>
        <v>328.39537598000067</v>
      </c>
      <c r="CJ12" s="28">
        <f t="shared" si="1"/>
        <v>215.33342313000037</v>
      </c>
      <c r="CK12" s="28">
        <f t="shared" si="1"/>
        <v>216.3278809100004</v>
      </c>
      <c r="CL12" s="28">
        <f t="shared" si="1"/>
        <v>195.83343359999989</v>
      </c>
      <c r="CM12" s="28">
        <f t="shared" si="1"/>
        <v>228.73847596000022</v>
      </c>
      <c r="CN12" s="28">
        <f t="shared" si="1"/>
        <v>172.19758409000002</v>
      </c>
      <c r="CO12" s="28">
        <f t="shared" si="1"/>
        <v>161.55698179000009</v>
      </c>
      <c r="CP12" s="28">
        <f t="shared" si="1"/>
        <v>161.49417903999998</v>
      </c>
      <c r="CQ12" s="28">
        <f t="shared" si="1"/>
        <v>216.66785094000019</v>
      </c>
      <c r="CR12" s="235">
        <f t="shared" ref="CR12:CT12" si="2">SUM(CR10:CR11)</f>
        <v>211.62656699000519</v>
      </c>
      <c r="CS12" s="235">
        <f t="shared" si="2"/>
        <v>226.76417747999992</v>
      </c>
      <c r="CT12" s="235">
        <f t="shared" si="2"/>
        <v>256.40629210999998</v>
      </c>
      <c r="CU12" s="336">
        <f t="shared" ref="CU12" si="3">SUM(CU10:CU11)</f>
        <v>322.53039103999987</v>
      </c>
      <c r="CV12"/>
      <c r="CX12" s="2"/>
    </row>
    <row r="13" spans="1:102" s="188" customFormat="1" x14ac:dyDescent="0.2">
      <c r="A13" s="27" t="s">
        <v>214</v>
      </c>
      <c r="B13" s="181"/>
      <c r="C13" s="31" t="s">
        <v>49</v>
      </c>
      <c r="D13" s="31" t="s">
        <v>49</v>
      </c>
      <c r="E13" s="31" t="s">
        <v>49</v>
      </c>
      <c r="F13" s="31" t="s">
        <v>49</v>
      </c>
      <c r="G13" s="31" t="s">
        <v>49</v>
      </c>
      <c r="H13" s="31" t="s">
        <v>49</v>
      </c>
      <c r="I13" s="31" t="s">
        <v>49</v>
      </c>
      <c r="J13" s="31" t="s">
        <v>49</v>
      </c>
      <c r="K13" s="31" t="s">
        <v>49</v>
      </c>
      <c r="L13" s="31" t="s">
        <v>49</v>
      </c>
      <c r="M13" s="31" t="s">
        <v>49</v>
      </c>
      <c r="N13" s="31" t="s">
        <v>49</v>
      </c>
      <c r="O13" s="31" t="s">
        <v>49</v>
      </c>
      <c r="P13" s="31" t="s">
        <v>49</v>
      </c>
      <c r="Q13" s="31" t="s">
        <v>49</v>
      </c>
      <c r="R13" s="31" t="s">
        <v>49</v>
      </c>
      <c r="S13" s="31" t="s">
        <v>49</v>
      </c>
      <c r="T13" s="31" t="s">
        <v>49</v>
      </c>
      <c r="U13" s="31" t="s">
        <v>49</v>
      </c>
      <c r="V13" s="31" t="s">
        <v>49</v>
      </c>
      <c r="W13" s="31" t="s">
        <v>49</v>
      </c>
      <c r="X13" s="31" t="s">
        <v>49</v>
      </c>
      <c r="Y13" s="31" t="s">
        <v>49</v>
      </c>
      <c r="Z13" s="31" t="s">
        <v>49</v>
      </c>
      <c r="AA13" s="31" t="s">
        <v>49</v>
      </c>
      <c r="AB13" s="31" t="s">
        <v>49</v>
      </c>
      <c r="AC13" s="31" t="s">
        <v>49</v>
      </c>
      <c r="AD13" s="31" t="s">
        <v>49</v>
      </c>
      <c r="AE13" s="31" t="s">
        <v>49</v>
      </c>
      <c r="AF13" s="31" t="s">
        <v>49</v>
      </c>
      <c r="AG13" s="31" t="s">
        <v>49</v>
      </c>
      <c r="AH13" s="31" t="s">
        <v>49</v>
      </c>
      <c r="AI13" s="31" t="s">
        <v>49</v>
      </c>
      <c r="AJ13" s="31" t="s">
        <v>49</v>
      </c>
      <c r="AK13" s="31" t="s">
        <v>49</v>
      </c>
      <c r="AL13" s="31" t="s">
        <v>49</v>
      </c>
      <c r="AM13" s="31" t="s">
        <v>49</v>
      </c>
      <c r="AN13" s="31" t="s">
        <v>49</v>
      </c>
      <c r="AO13" s="31" t="s">
        <v>49</v>
      </c>
      <c r="AP13" s="31" t="s">
        <v>49</v>
      </c>
      <c r="AQ13" s="31" t="s">
        <v>49</v>
      </c>
      <c r="AR13" s="31" t="s">
        <v>49</v>
      </c>
      <c r="AS13" s="31" t="s">
        <v>49</v>
      </c>
      <c r="AT13" s="31" t="s">
        <v>49</v>
      </c>
      <c r="AU13" s="31" t="s">
        <v>49</v>
      </c>
      <c r="AV13" s="31" t="s">
        <v>49</v>
      </c>
      <c r="AW13" s="31" t="s">
        <v>49</v>
      </c>
      <c r="AX13" s="31" t="s">
        <v>49</v>
      </c>
      <c r="AY13" s="31" t="s">
        <v>49</v>
      </c>
      <c r="AZ13" s="31" t="s">
        <v>49</v>
      </c>
      <c r="BA13" s="31" t="s">
        <v>49</v>
      </c>
      <c r="BB13" s="31" t="s">
        <v>49</v>
      </c>
      <c r="BC13" s="31" t="s">
        <v>49</v>
      </c>
      <c r="BD13" s="31" t="s">
        <v>49</v>
      </c>
      <c r="BE13" s="31" t="s">
        <v>49</v>
      </c>
      <c r="BF13" s="31" t="s">
        <v>49</v>
      </c>
      <c r="BG13" s="31" t="s">
        <v>49</v>
      </c>
      <c r="BH13" s="31" t="s">
        <v>49</v>
      </c>
      <c r="BI13" s="31" t="s">
        <v>49</v>
      </c>
      <c r="BJ13" s="31" t="s">
        <v>49</v>
      </c>
      <c r="BK13" s="29">
        <v>15.29</v>
      </c>
      <c r="BL13" s="29">
        <v>17.52</v>
      </c>
      <c r="BM13" s="29">
        <v>23.21</v>
      </c>
      <c r="BN13" s="28">
        <v>24.56</v>
      </c>
      <c r="BO13" s="28">
        <v>25.4</v>
      </c>
      <c r="BP13" s="234">
        <v>23.99</v>
      </c>
      <c r="BQ13" s="28">
        <v>19.149999999999999</v>
      </c>
      <c r="BR13" s="234">
        <v>31.22</v>
      </c>
      <c r="BS13" s="28">
        <v>33.286735440000001</v>
      </c>
      <c r="BT13" s="28">
        <v>29.649249829999999</v>
      </c>
      <c r="BU13" s="28">
        <v>32.267983240000007</v>
      </c>
      <c r="BV13" s="28">
        <v>31.470133320000002</v>
      </c>
      <c r="BW13" s="235">
        <v>31.567262279999998</v>
      </c>
      <c r="BX13" s="235">
        <v>29.317766330000001</v>
      </c>
      <c r="BY13" s="235">
        <v>32.909923709999994</v>
      </c>
      <c r="BZ13" s="28">
        <v>30.84022161</v>
      </c>
      <c r="CA13" s="28">
        <v>72.656789439999997</v>
      </c>
      <c r="CB13" s="28">
        <v>80.547816160000011</v>
      </c>
      <c r="CC13" s="28">
        <v>87.975921750000026</v>
      </c>
      <c r="CD13" s="28">
        <v>114.01333226</v>
      </c>
      <c r="CE13" s="28">
        <v>247.28586344000001</v>
      </c>
      <c r="CF13" s="28">
        <v>128.68548082999996</v>
      </c>
      <c r="CG13" s="28">
        <v>114.45372741999999</v>
      </c>
      <c r="CH13" s="28">
        <v>135.05124399999994</v>
      </c>
      <c r="CI13" s="28">
        <v>133.32131321000008</v>
      </c>
      <c r="CJ13" s="28">
        <v>86.286506840004762</v>
      </c>
      <c r="CK13" s="28">
        <v>80.068643549999919</v>
      </c>
      <c r="CL13" s="28">
        <v>64.647095070000105</v>
      </c>
      <c r="CM13" s="28">
        <v>82.617253419999827</v>
      </c>
      <c r="CN13" s="28">
        <v>64.552041840000001</v>
      </c>
      <c r="CO13" s="28">
        <v>71.329275451383012</v>
      </c>
      <c r="CP13" s="28">
        <v>68.791916030000095</v>
      </c>
      <c r="CQ13" s="28">
        <v>98.524684979999975</v>
      </c>
      <c r="CR13" s="235">
        <v>100.25202513250001</v>
      </c>
      <c r="CS13" s="235">
        <v>104.73918089999988</v>
      </c>
      <c r="CT13" s="235">
        <v>150.178</v>
      </c>
      <c r="CU13" s="336">
        <v>174.09310118000022</v>
      </c>
      <c r="CV13"/>
      <c r="CW13" s="236"/>
      <c r="CX13" s="2"/>
    </row>
    <row r="14" spans="1:102" s="189" customFormat="1" x14ac:dyDescent="0.2">
      <c r="A14" s="176" t="s">
        <v>216</v>
      </c>
      <c r="B14" s="177"/>
      <c r="C14" s="159">
        <f>SUM(C12:C13)</f>
        <v>13.100000000000001</v>
      </c>
      <c r="D14" s="159">
        <f t="shared" ref="D14:BO14" si="4">SUM(D12:D13)</f>
        <v>8.3999999999999986</v>
      </c>
      <c r="E14" s="159">
        <f t="shared" si="4"/>
        <v>7.6000000000000005</v>
      </c>
      <c r="F14" s="159">
        <f t="shared" si="4"/>
        <v>22.7</v>
      </c>
      <c r="G14" s="159">
        <f t="shared" si="4"/>
        <v>17.5</v>
      </c>
      <c r="H14" s="159">
        <f t="shared" si="4"/>
        <v>12.2</v>
      </c>
      <c r="I14" s="159">
        <f t="shared" si="4"/>
        <v>15.100000000000001</v>
      </c>
      <c r="J14" s="159">
        <f t="shared" si="4"/>
        <v>25</v>
      </c>
      <c r="K14" s="159">
        <f t="shared" si="4"/>
        <v>16.5</v>
      </c>
      <c r="L14" s="159">
        <f t="shared" si="4"/>
        <v>17.5</v>
      </c>
      <c r="M14" s="159">
        <f t="shared" si="4"/>
        <v>26.5</v>
      </c>
      <c r="N14" s="159">
        <f t="shared" si="4"/>
        <v>28.5</v>
      </c>
      <c r="O14" s="159">
        <f t="shared" si="4"/>
        <v>46.5</v>
      </c>
      <c r="P14" s="159">
        <f t="shared" si="4"/>
        <v>26.8</v>
      </c>
      <c r="Q14" s="159">
        <f t="shared" si="4"/>
        <v>20.700000000000003</v>
      </c>
      <c r="R14" s="159">
        <f t="shared" si="4"/>
        <v>29.1</v>
      </c>
      <c r="S14" s="159">
        <f t="shared" si="4"/>
        <v>32.299999999999997</v>
      </c>
      <c r="T14" s="159">
        <f t="shared" si="4"/>
        <v>34.599999999999994</v>
      </c>
      <c r="U14" s="159">
        <f t="shared" si="4"/>
        <v>41.5</v>
      </c>
      <c r="V14" s="159">
        <f t="shared" si="4"/>
        <v>45.800000000000004</v>
      </c>
      <c r="W14" s="159">
        <f t="shared" si="4"/>
        <v>70.2</v>
      </c>
      <c r="X14" s="159">
        <f t="shared" si="4"/>
        <v>67</v>
      </c>
      <c r="Y14" s="159">
        <f t="shared" si="4"/>
        <v>43.5</v>
      </c>
      <c r="Z14" s="159">
        <f t="shared" si="4"/>
        <v>59.000000000000007</v>
      </c>
      <c r="AA14" s="159">
        <f t="shared" si="4"/>
        <v>71.3</v>
      </c>
      <c r="AB14" s="159">
        <f t="shared" si="4"/>
        <v>56.8</v>
      </c>
      <c r="AC14" s="159">
        <f t="shared" si="4"/>
        <v>60.515000000000008</v>
      </c>
      <c r="AD14" s="159">
        <f t="shared" si="4"/>
        <v>67</v>
      </c>
      <c r="AE14" s="159">
        <f t="shared" si="4"/>
        <v>64.010000000000005</v>
      </c>
      <c r="AF14" s="159">
        <f t="shared" si="4"/>
        <v>49.92</v>
      </c>
      <c r="AG14" s="159">
        <f t="shared" si="4"/>
        <v>53.400000000000006</v>
      </c>
      <c r="AH14" s="159">
        <f t="shared" si="4"/>
        <v>62</v>
      </c>
      <c r="AI14" s="159">
        <f t="shared" si="4"/>
        <v>58.369000000000007</v>
      </c>
      <c r="AJ14" s="159">
        <f t="shared" si="4"/>
        <v>82</v>
      </c>
      <c r="AK14" s="159">
        <f t="shared" si="4"/>
        <v>77</v>
      </c>
      <c r="AL14" s="159">
        <f t="shared" si="4"/>
        <v>82.5</v>
      </c>
      <c r="AM14" s="159">
        <f t="shared" si="4"/>
        <v>87</v>
      </c>
      <c r="AN14" s="159">
        <f t="shared" si="4"/>
        <v>87</v>
      </c>
      <c r="AO14" s="159">
        <f t="shared" si="4"/>
        <v>70</v>
      </c>
      <c r="AP14" s="159">
        <f t="shared" si="4"/>
        <v>84.899999999999991</v>
      </c>
      <c r="AQ14" s="159">
        <f t="shared" si="4"/>
        <v>87.5</v>
      </c>
      <c r="AR14" s="159">
        <f t="shared" si="4"/>
        <v>64</v>
      </c>
      <c r="AS14" s="159">
        <f t="shared" si="4"/>
        <v>87</v>
      </c>
      <c r="AT14" s="159">
        <f t="shared" si="4"/>
        <v>67</v>
      </c>
      <c r="AU14" s="159">
        <f t="shared" si="4"/>
        <v>70</v>
      </c>
      <c r="AV14" s="159">
        <f t="shared" si="4"/>
        <v>53</v>
      </c>
      <c r="AW14" s="159">
        <f t="shared" si="4"/>
        <v>47</v>
      </c>
      <c r="AX14" s="159">
        <f t="shared" si="4"/>
        <v>46</v>
      </c>
      <c r="AY14" s="159">
        <f t="shared" si="4"/>
        <v>64</v>
      </c>
      <c r="AZ14" s="159">
        <f t="shared" si="4"/>
        <v>51</v>
      </c>
      <c r="BA14" s="159">
        <f t="shared" si="4"/>
        <v>63</v>
      </c>
      <c r="BB14" s="159">
        <f t="shared" si="4"/>
        <v>67</v>
      </c>
      <c r="BC14" s="159">
        <f t="shared" si="4"/>
        <v>77.400000000000006</v>
      </c>
      <c r="BD14" s="159">
        <f t="shared" si="4"/>
        <v>60.800000000000004</v>
      </c>
      <c r="BE14" s="159">
        <f t="shared" si="4"/>
        <v>66.599999999999994</v>
      </c>
      <c r="BF14" s="159">
        <f t="shared" si="4"/>
        <v>80.899999999999991</v>
      </c>
      <c r="BG14" s="159">
        <f t="shared" si="4"/>
        <v>113</v>
      </c>
      <c r="BH14" s="159">
        <f t="shared" si="4"/>
        <v>108</v>
      </c>
      <c r="BI14" s="159">
        <f t="shared" si="4"/>
        <v>112.5</v>
      </c>
      <c r="BJ14" s="159">
        <f t="shared" si="4"/>
        <v>145.739</v>
      </c>
      <c r="BK14" s="159">
        <f t="shared" si="4"/>
        <v>140.48999999999998</v>
      </c>
      <c r="BL14" s="159">
        <f t="shared" si="4"/>
        <v>127.11999999999999</v>
      </c>
      <c r="BM14" s="159">
        <f t="shared" si="4"/>
        <v>136.21</v>
      </c>
      <c r="BN14" s="159">
        <f t="shared" si="4"/>
        <v>146.16</v>
      </c>
      <c r="BO14" s="159">
        <f t="shared" si="4"/>
        <v>147.10000000000002</v>
      </c>
      <c r="BP14" s="159">
        <f t="shared" ref="BP14:CQ14" si="5">SUM(BP12:BP13)</f>
        <v>124.24999999999999</v>
      </c>
      <c r="BQ14" s="159">
        <f t="shared" si="5"/>
        <v>124.82</v>
      </c>
      <c r="BR14" s="159">
        <f t="shared" si="5"/>
        <v>153.05799999999999</v>
      </c>
      <c r="BS14" s="159">
        <f t="shared" si="5"/>
        <v>154.91873544000001</v>
      </c>
      <c r="BT14" s="159">
        <f t="shared" si="5"/>
        <v>121.24024983000001</v>
      </c>
      <c r="BU14" s="159">
        <f t="shared" si="5"/>
        <v>143.25298323999999</v>
      </c>
      <c r="BV14" s="159">
        <f t="shared" si="5"/>
        <v>142.51482533999999</v>
      </c>
      <c r="BW14" s="159">
        <f t="shared" si="5"/>
        <v>143.87462197999992</v>
      </c>
      <c r="BX14" s="159">
        <f t="shared" si="5"/>
        <v>134.15429894000002</v>
      </c>
      <c r="BY14" s="159">
        <f t="shared" si="5"/>
        <v>158.59741951000001</v>
      </c>
      <c r="BZ14" s="159">
        <f t="shared" si="5"/>
        <v>153.88693996000001</v>
      </c>
      <c r="CA14" s="159">
        <f t="shared" si="5"/>
        <v>340.50900475892843</v>
      </c>
      <c r="CB14" s="159">
        <f t="shared" si="5"/>
        <v>340.61274856339071</v>
      </c>
      <c r="CC14" s="159">
        <f t="shared" si="5"/>
        <v>370.67640935339205</v>
      </c>
      <c r="CD14" s="159">
        <f t="shared" si="5"/>
        <v>405.43928420428801</v>
      </c>
      <c r="CE14" s="159">
        <f t="shared" si="5"/>
        <v>685.93918689556403</v>
      </c>
      <c r="CF14" s="159">
        <f t="shared" si="5"/>
        <v>462.39440177669201</v>
      </c>
      <c r="CG14" s="159">
        <f t="shared" si="5"/>
        <v>444.18687413669301</v>
      </c>
      <c r="CH14" s="159">
        <f t="shared" si="5"/>
        <v>488.93456845105197</v>
      </c>
      <c r="CI14" s="159">
        <f t="shared" si="5"/>
        <v>461.71668919000075</v>
      </c>
      <c r="CJ14" s="159">
        <f t="shared" si="5"/>
        <v>301.61992997000516</v>
      </c>
      <c r="CK14" s="159">
        <f t="shared" si="5"/>
        <v>296.39652446000031</v>
      </c>
      <c r="CL14" s="159">
        <f t="shared" si="5"/>
        <v>260.48052867000001</v>
      </c>
      <c r="CM14" s="159">
        <f t="shared" si="5"/>
        <v>311.35572938000007</v>
      </c>
      <c r="CN14" s="159">
        <f t="shared" si="5"/>
        <v>236.74962593000004</v>
      </c>
      <c r="CO14" s="159">
        <f t="shared" si="5"/>
        <v>232.88625724138311</v>
      </c>
      <c r="CP14" s="159">
        <f t="shared" si="5"/>
        <v>230.28609507000007</v>
      </c>
      <c r="CQ14" s="159">
        <f t="shared" si="5"/>
        <v>315.19253592000018</v>
      </c>
      <c r="CR14" s="355">
        <f>SUM(CR12:CR13)</f>
        <v>311.87859212250521</v>
      </c>
      <c r="CS14" s="355">
        <f t="shared" ref="CS14" si="6">SUM(CS12:CS13)</f>
        <v>331.50335837999978</v>
      </c>
      <c r="CT14" s="355">
        <f>SUM(CT12:CT13)</f>
        <v>406.58429210999998</v>
      </c>
      <c r="CU14" s="337">
        <f>SUM(CU12:CU13)</f>
        <v>496.62349222000012</v>
      </c>
      <c r="CV14"/>
      <c r="CX14" s="2"/>
    </row>
    <row r="15" spans="1:102" x14ac:dyDescent="0.2">
      <c r="A15" s="135"/>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5"/>
      <c r="AD15" s="15"/>
      <c r="AE15" s="15"/>
      <c r="AF15" s="15"/>
      <c r="AG15" s="15"/>
      <c r="AH15" s="15"/>
      <c r="AI15" s="15"/>
      <c r="AJ15" s="14"/>
      <c r="AK15" s="4"/>
      <c r="AL15" s="14"/>
      <c r="AM15" s="15"/>
      <c r="AN15" s="14"/>
      <c r="AO15" s="14"/>
      <c r="AP15" s="14"/>
      <c r="AQ15" s="14"/>
      <c r="AR15" s="14"/>
      <c r="AS15" s="4"/>
      <c r="AT15" s="15"/>
      <c r="AU15" s="15"/>
      <c r="AV15" s="14"/>
      <c r="AW15" s="14"/>
      <c r="AX15" s="14"/>
      <c r="AY15" s="14"/>
      <c r="AZ15" s="14"/>
      <c r="BA15" s="14"/>
      <c r="BB15" s="14"/>
      <c r="BC15" s="14"/>
      <c r="BD15" s="14"/>
      <c r="BE15" s="14"/>
      <c r="BF15" s="14"/>
      <c r="BG15" s="15"/>
      <c r="BH15" s="15"/>
      <c r="BI15" s="14"/>
      <c r="BJ15" s="16"/>
      <c r="BK15" s="16"/>
      <c r="BL15" s="16"/>
      <c r="BM15" s="16"/>
      <c r="BN15" s="14"/>
      <c r="BO15" s="14"/>
      <c r="BP15" s="4"/>
      <c r="BQ15" s="14"/>
      <c r="BR15" s="4"/>
      <c r="BS15" s="14"/>
      <c r="BT15" s="14"/>
      <c r="BU15" s="14"/>
      <c r="BV15" s="14"/>
      <c r="BW15" s="15"/>
      <c r="BX15" s="15"/>
      <c r="BY15" s="15"/>
      <c r="BZ15" s="14"/>
      <c r="CA15" s="14"/>
      <c r="CB15" s="14"/>
      <c r="CC15" s="14"/>
      <c r="CD15" s="14"/>
      <c r="CE15" s="14"/>
      <c r="CF15" s="14"/>
      <c r="CG15" s="14"/>
      <c r="CH15" s="14"/>
      <c r="CI15" s="14"/>
      <c r="CJ15" s="14"/>
      <c r="CK15" s="14"/>
      <c r="CL15" s="14"/>
      <c r="CM15" s="14"/>
      <c r="CN15" s="14"/>
      <c r="CO15" s="14"/>
      <c r="CP15" s="14"/>
      <c r="CQ15" s="14"/>
      <c r="CR15" s="15"/>
      <c r="CS15" s="15"/>
      <c r="CT15" s="15"/>
      <c r="CU15" s="361"/>
      <c r="CW15" s="2"/>
    </row>
    <row r="16" spans="1:102" x14ac:dyDescent="0.2">
      <c r="A16" s="135" t="s">
        <v>186</v>
      </c>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5"/>
      <c r="AD16" s="15"/>
      <c r="AE16" s="15"/>
      <c r="AF16" s="15"/>
      <c r="AG16" s="15"/>
      <c r="AH16" s="15"/>
      <c r="AI16" s="15"/>
      <c r="AJ16" s="14"/>
      <c r="AK16" s="4"/>
      <c r="AL16" s="14"/>
      <c r="AM16" s="15"/>
      <c r="AN16" s="14"/>
      <c r="AO16" s="14"/>
      <c r="AP16" s="14"/>
      <c r="AQ16" s="14"/>
      <c r="AR16" s="14"/>
      <c r="AS16" s="4"/>
      <c r="AT16" s="15"/>
      <c r="AU16" s="15"/>
      <c r="AV16" s="14"/>
      <c r="AW16" s="14"/>
      <c r="AX16" s="14"/>
      <c r="AY16" s="14"/>
      <c r="AZ16" s="14"/>
      <c r="BA16" s="14"/>
      <c r="BB16" s="14"/>
      <c r="BC16" s="14"/>
      <c r="BD16" s="14"/>
      <c r="BE16" s="14"/>
      <c r="BF16" s="14"/>
      <c r="BG16" s="15"/>
      <c r="BH16" s="15"/>
      <c r="BI16" s="14"/>
      <c r="BJ16" s="16"/>
      <c r="BK16" s="16"/>
      <c r="BL16" s="16"/>
      <c r="BM16" s="16"/>
      <c r="BN16" s="14"/>
      <c r="BO16" s="14"/>
      <c r="BP16" s="4"/>
      <c r="BQ16" s="14"/>
      <c r="BR16" s="4"/>
      <c r="BS16" s="14"/>
      <c r="BT16" s="14"/>
      <c r="BU16" s="14"/>
      <c r="BV16" s="14"/>
      <c r="BW16" s="15"/>
      <c r="BX16" s="15"/>
      <c r="BY16" s="15"/>
      <c r="BZ16" s="14"/>
      <c r="CA16" s="14"/>
      <c r="CB16" s="14"/>
      <c r="CC16" s="14"/>
      <c r="CD16" s="14"/>
      <c r="CE16" s="14"/>
      <c r="CF16" s="14"/>
      <c r="CG16" s="14"/>
      <c r="CH16" s="14"/>
      <c r="CI16" s="14"/>
      <c r="CJ16" s="14"/>
      <c r="CK16" s="14"/>
      <c r="CL16" s="14"/>
      <c r="CM16" s="14"/>
      <c r="CN16" s="14"/>
      <c r="CO16" s="14"/>
      <c r="CP16" s="14"/>
      <c r="CQ16" s="14"/>
      <c r="CR16" s="15"/>
      <c r="CS16" s="15"/>
      <c r="CT16" s="15"/>
      <c r="CU16" s="361"/>
      <c r="CW16" s="2"/>
    </row>
    <row r="17" spans="1:102" s="188" customFormat="1" x14ac:dyDescent="0.2">
      <c r="A17" s="27" t="s">
        <v>187</v>
      </c>
      <c r="B17" s="233"/>
      <c r="C17" s="28">
        <v>0</v>
      </c>
      <c r="D17" s="28">
        <v>0</v>
      </c>
      <c r="E17" s="28">
        <v>0.4</v>
      </c>
      <c r="F17" s="28">
        <v>0.4</v>
      </c>
      <c r="G17" s="28">
        <v>0.4</v>
      </c>
      <c r="H17" s="28">
        <v>0.7</v>
      </c>
      <c r="I17" s="28">
        <v>0.5</v>
      </c>
      <c r="J17" s="28">
        <v>0.4</v>
      </c>
      <c r="K17" s="28">
        <v>0.3</v>
      </c>
      <c r="L17" s="28">
        <v>0.4</v>
      </c>
      <c r="M17" s="28">
        <v>0.6</v>
      </c>
      <c r="N17" s="28">
        <v>0.6</v>
      </c>
      <c r="O17" s="28">
        <v>1.1000000000000001</v>
      </c>
      <c r="P17" s="28">
        <v>2</v>
      </c>
      <c r="Q17" s="28">
        <v>1.5</v>
      </c>
      <c r="R17" s="28">
        <v>2.7</v>
      </c>
      <c r="S17" s="28">
        <v>7.6</v>
      </c>
      <c r="T17" s="28">
        <v>5.0999999999999996</v>
      </c>
      <c r="U17" s="28">
        <v>8.1</v>
      </c>
      <c r="V17" s="28">
        <v>12.3</v>
      </c>
      <c r="W17" s="28">
        <v>17.7</v>
      </c>
      <c r="X17" s="28">
        <v>12.5</v>
      </c>
      <c r="Y17" s="28">
        <v>5.9</v>
      </c>
      <c r="Z17" s="28">
        <v>8.6</v>
      </c>
      <c r="AA17" s="28">
        <v>13.1</v>
      </c>
      <c r="AB17" s="28">
        <v>17.2</v>
      </c>
      <c r="AC17" s="235">
        <v>19.355</v>
      </c>
      <c r="AD17" s="235">
        <v>19</v>
      </c>
      <c r="AE17" s="235">
        <v>12.1</v>
      </c>
      <c r="AF17" s="235">
        <v>14.1</v>
      </c>
      <c r="AG17" s="235">
        <v>8</v>
      </c>
      <c r="AH17" s="235">
        <v>7</v>
      </c>
      <c r="AI17" s="235">
        <v>7.1429999999999998</v>
      </c>
      <c r="AJ17" s="28">
        <v>11</v>
      </c>
      <c r="AK17" s="234">
        <v>13</v>
      </c>
      <c r="AL17" s="28">
        <v>17</v>
      </c>
      <c r="AM17" s="235">
        <v>20</v>
      </c>
      <c r="AN17" s="28">
        <v>22</v>
      </c>
      <c r="AO17" s="28">
        <v>18</v>
      </c>
      <c r="AP17" s="28">
        <v>21</v>
      </c>
      <c r="AQ17" s="28">
        <v>21</v>
      </c>
      <c r="AR17" s="28">
        <v>19</v>
      </c>
      <c r="AS17" s="234">
        <v>16</v>
      </c>
      <c r="AT17" s="235">
        <v>14</v>
      </c>
      <c r="AU17" s="235">
        <v>17</v>
      </c>
      <c r="AV17" s="28">
        <v>15</v>
      </c>
      <c r="AW17" s="28">
        <v>16</v>
      </c>
      <c r="AX17" s="28">
        <v>17</v>
      </c>
      <c r="AY17" s="28">
        <v>19</v>
      </c>
      <c r="AZ17" s="28">
        <v>20</v>
      </c>
      <c r="BA17" s="28">
        <v>22</v>
      </c>
      <c r="BB17" s="28">
        <v>22</v>
      </c>
      <c r="BC17" s="28">
        <v>24.5</v>
      </c>
      <c r="BD17" s="28">
        <v>27</v>
      </c>
      <c r="BE17" s="28">
        <v>30.9</v>
      </c>
      <c r="BF17" s="28">
        <v>31.3</v>
      </c>
      <c r="BG17" s="28">
        <v>40</v>
      </c>
      <c r="BH17" s="28">
        <v>44</v>
      </c>
      <c r="BI17" s="234">
        <v>37.799999999999997</v>
      </c>
      <c r="BJ17" s="28">
        <v>38.4</v>
      </c>
      <c r="BK17" s="28">
        <v>36.986008099999999</v>
      </c>
      <c r="BL17" s="28">
        <v>38.222673769999993</v>
      </c>
      <c r="BM17" s="28">
        <v>44.457138969999988</v>
      </c>
      <c r="BN17" s="28">
        <v>47.856236890000019</v>
      </c>
      <c r="BO17" s="28">
        <v>52.504774629999979</v>
      </c>
      <c r="BP17" s="234">
        <v>61.000177520000008</v>
      </c>
      <c r="BQ17" s="28">
        <v>61.76046780999998</v>
      </c>
      <c r="BR17" s="234">
        <v>64.38878907000003</v>
      </c>
      <c r="BS17" s="28">
        <v>72.066000000000003</v>
      </c>
      <c r="BT17" s="28">
        <v>74.429000000000002</v>
      </c>
      <c r="BU17" s="28">
        <v>80.760999999999996</v>
      </c>
      <c r="BV17" s="28">
        <v>73.662072210000005</v>
      </c>
      <c r="BW17" s="235">
        <v>71.698814510000005</v>
      </c>
      <c r="BX17" s="235">
        <v>82.616866770000001</v>
      </c>
      <c r="BY17" s="235">
        <v>86.310563090000002</v>
      </c>
      <c r="BZ17" s="28">
        <v>91.336806440000004</v>
      </c>
      <c r="CA17" s="28">
        <v>96.299049139999994</v>
      </c>
      <c r="CB17" s="28">
        <v>88.080370680000016</v>
      </c>
      <c r="CC17" s="28">
        <v>108.96144069</v>
      </c>
      <c r="CD17" s="28">
        <v>124.63542631</v>
      </c>
      <c r="CE17" s="28">
        <v>150.2406344100001</v>
      </c>
      <c r="CF17" s="28">
        <v>161.42906234999992</v>
      </c>
      <c r="CG17" s="28">
        <v>173.32420903000002</v>
      </c>
      <c r="CH17" s="28">
        <v>175.61867104999999</v>
      </c>
      <c r="CI17" s="28">
        <v>157.17080773000072</v>
      </c>
      <c r="CJ17" s="28">
        <v>142.75093714999988</v>
      </c>
      <c r="CK17" s="28">
        <v>140.52747814999981</v>
      </c>
      <c r="CL17" s="28">
        <v>136.67888076</v>
      </c>
      <c r="CM17" s="28">
        <v>143.7782492499999</v>
      </c>
      <c r="CN17" s="28">
        <v>147.46341270000008</v>
      </c>
      <c r="CO17" s="28">
        <v>153.02123501999989</v>
      </c>
      <c r="CP17" s="28">
        <v>149.90549139000001</v>
      </c>
      <c r="CQ17" s="28">
        <v>166.42697279999999</v>
      </c>
      <c r="CR17" s="235">
        <v>185.3535086600001</v>
      </c>
      <c r="CS17" s="235">
        <v>193.88991256</v>
      </c>
      <c r="CT17" s="235">
        <v>204.41639626999998</v>
      </c>
      <c r="CU17" s="336">
        <v>202.17755388000035</v>
      </c>
      <c r="CV17"/>
      <c r="CX17" s="2"/>
    </row>
    <row r="18" spans="1:102" x14ac:dyDescent="0.2">
      <c r="A18" s="23" t="s">
        <v>189</v>
      </c>
      <c r="B18" s="231"/>
      <c r="C18" s="24">
        <v>8.6999999999999993</v>
      </c>
      <c r="D18" s="24">
        <v>9.5</v>
      </c>
      <c r="E18" s="24">
        <v>12.5</v>
      </c>
      <c r="F18" s="24">
        <v>14.3</v>
      </c>
      <c r="G18" s="24">
        <v>14.2</v>
      </c>
      <c r="H18" s="24">
        <v>14</v>
      </c>
      <c r="I18" s="24">
        <v>13.5</v>
      </c>
      <c r="J18" s="24">
        <v>14</v>
      </c>
      <c r="K18" s="24">
        <v>12.9</v>
      </c>
      <c r="L18" s="24">
        <v>13.2</v>
      </c>
      <c r="M18" s="24">
        <v>13.1</v>
      </c>
      <c r="N18" s="24">
        <v>15</v>
      </c>
      <c r="O18" s="24">
        <v>17.8</v>
      </c>
      <c r="P18" s="24">
        <v>16</v>
      </c>
      <c r="Q18" s="24">
        <v>16.5</v>
      </c>
      <c r="R18" s="24">
        <v>18.3</v>
      </c>
      <c r="S18" s="24">
        <v>20.100000000000001</v>
      </c>
      <c r="T18" s="24">
        <v>23.1</v>
      </c>
      <c r="U18" s="24">
        <v>23.3</v>
      </c>
      <c r="V18" s="24">
        <v>26.5</v>
      </c>
      <c r="W18" s="24">
        <v>35.700000000000003</v>
      </c>
      <c r="X18" s="24">
        <v>44.8</v>
      </c>
      <c r="Y18" s="24">
        <v>45.5</v>
      </c>
      <c r="Z18" s="24">
        <v>54.7</v>
      </c>
      <c r="AA18" s="24">
        <v>63.4</v>
      </c>
      <c r="AB18" s="24">
        <v>72.7</v>
      </c>
      <c r="AC18" s="25">
        <v>78</v>
      </c>
      <c r="AD18" s="25">
        <v>88</v>
      </c>
      <c r="AE18" s="25">
        <v>96.8</v>
      </c>
      <c r="AF18" s="25">
        <v>103.4</v>
      </c>
      <c r="AG18" s="25">
        <v>108</v>
      </c>
      <c r="AH18" s="25">
        <v>86</v>
      </c>
      <c r="AI18" s="25">
        <v>47.9</v>
      </c>
      <c r="AJ18" s="24">
        <v>31</v>
      </c>
      <c r="AK18" s="232">
        <v>28</v>
      </c>
      <c r="AL18" s="24">
        <v>30</v>
      </c>
      <c r="AM18" s="25">
        <v>33</v>
      </c>
      <c r="AN18" s="24">
        <v>37</v>
      </c>
      <c r="AO18" s="24">
        <v>44</v>
      </c>
      <c r="AP18" s="24">
        <v>59</v>
      </c>
      <c r="AQ18" s="24">
        <v>72.484584999999996</v>
      </c>
      <c r="AR18" s="24">
        <v>83.222014000000001</v>
      </c>
      <c r="AS18" s="232">
        <v>91.016101000000006</v>
      </c>
      <c r="AT18" s="25">
        <v>88.977868000000001</v>
      </c>
      <c r="AU18" s="25">
        <v>79.046869999999998</v>
      </c>
      <c r="AV18" s="24">
        <v>76.095814000000004</v>
      </c>
      <c r="AW18" s="24">
        <v>74.692622999999998</v>
      </c>
      <c r="AX18" s="24">
        <v>63.853270999999999</v>
      </c>
      <c r="AY18" s="24">
        <v>56.377997999999998</v>
      </c>
      <c r="AZ18" s="24">
        <v>56.815778000000002</v>
      </c>
      <c r="BA18" s="24">
        <v>58.856254</v>
      </c>
      <c r="BB18" s="24">
        <v>61.070441000000002</v>
      </c>
      <c r="BC18" s="24">
        <v>58.438091</v>
      </c>
      <c r="BD18" s="24">
        <v>62.572008999999994</v>
      </c>
      <c r="BE18" s="24">
        <v>51.487964000000005</v>
      </c>
      <c r="BF18" s="24">
        <v>49.985872999999998</v>
      </c>
      <c r="BG18" s="24">
        <v>41.376773999999997</v>
      </c>
      <c r="BH18" s="24">
        <v>39.028587000000002</v>
      </c>
      <c r="BI18" s="232">
        <v>39.829250000000002</v>
      </c>
      <c r="BJ18" s="24">
        <v>42.900395000000003</v>
      </c>
      <c r="BK18" s="24">
        <v>44.41920468</v>
      </c>
      <c r="BL18" s="24">
        <v>42.500465219999988</v>
      </c>
      <c r="BM18" s="24">
        <v>42.738649359999997</v>
      </c>
      <c r="BN18" s="24">
        <v>47.535413770000012</v>
      </c>
      <c r="BO18" s="24">
        <v>45.610528750000007</v>
      </c>
      <c r="BP18" s="232">
        <v>46.984641030000006</v>
      </c>
      <c r="BQ18" s="24">
        <v>47.932726029999976</v>
      </c>
      <c r="BR18" s="232">
        <v>49.279801830000011</v>
      </c>
      <c r="BS18" s="24">
        <v>51.708376999999999</v>
      </c>
      <c r="BT18" s="24">
        <v>51.815316999999993</v>
      </c>
      <c r="BU18" s="24">
        <v>53.474505000000001</v>
      </c>
      <c r="BV18" s="24">
        <v>55.422927459999997</v>
      </c>
      <c r="BW18" s="25">
        <v>51.593082240000001</v>
      </c>
      <c r="BX18" s="25">
        <v>62.672278849999891</v>
      </c>
      <c r="BY18" s="25">
        <v>67.273087220000008</v>
      </c>
      <c r="BZ18" s="24">
        <v>71.062272879999995</v>
      </c>
      <c r="CA18" s="24">
        <v>81.524754839999986</v>
      </c>
      <c r="CB18" s="24">
        <v>93.229682489999988</v>
      </c>
      <c r="CC18" s="24">
        <v>94.203573289999994</v>
      </c>
      <c r="CD18" s="24">
        <v>94.844381960000007</v>
      </c>
      <c r="CE18" s="24">
        <v>98.286143690000031</v>
      </c>
      <c r="CF18" s="24">
        <v>105.27648003000002</v>
      </c>
      <c r="CG18" s="24">
        <v>109.58665628999996</v>
      </c>
      <c r="CH18" s="24">
        <v>114.55798105</v>
      </c>
      <c r="CI18" s="24">
        <v>114.54598338000042</v>
      </c>
      <c r="CJ18" s="24">
        <v>149.1435839699999</v>
      </c>
      <c r="CK18" s="24">
        <v>259.36917149999988</v>
      </c>
      <c r="CL18" s="24">
        <v>412.44839142000001</v>
      </c>
      <c r="CM18" s="24">
        <v>508.05189454000015</v>
      </c>
      <c r="CN18" s="24">
        <v>608.03267227000015</v>
      </c>
      <c r="CO18" s="24">
        <v>695.49163571000008</v>
      </c>
      <c r="CP18" s="24">
        <v>728.51083965999987</v>
      </c>
      <c r="CQ18" s="24">
        <v>717.88062179000019</v>
      </c>
      <c r="CR18" s="25">
        <v>712.65912445000004</v>
      </c>
      <c r="CS18" s="25">
        <v>686.75063310000041</v>
      </c>
      <c r="CT18" s="25">
        <v>640.76411122000013</v>
      </c>
      <c r="CU18" s="69">
        <v>564.77860577999991</v>
      </c>
      <c r="CW18" s="2"/>
    </row>
    <row r="19" spans="1:102" x14ac:dyDescent="0.2">
      <c r="A19" s="23" t="s">
        <v>96</v>
      </c>
      <c r="B19" s="231"/>
      <c r="C19" s="24">
        <v>-3.5</v>
      </c>
      <c r="D19" s="24">
        <v>-4</v>
      </c>
      <c r="E19" s="24">
        <v>-5.2</v>
      </c>
      <c r="F19" s="24">
        <v>-5</v>
      </c>
      <c r="G19" s="24">
        <v>-4.4000000000000004</v>
      </c>
      <c r="H19" s="24">
        <v>-4.4000000000000004</v>
      </c>
      <c r="I19" s="24">
        <v>-3.5</v>
      </c>
      <c r="J19" s="24">
        <v>-3.3</v>
      </c>
      <c r="K19" s="24">
        <v>-2.6720000000000002</v>
      </c>
      <c r="L19" s="24">
        <v>-2.5059999999999998</v>
      </c>
      <c r="M19" s="24">
        <v>-1.8900000000000001</v>
      </c>
      <c r="N19" s="24">
        <v>-1.99</v>
      </c>
      <c r="O19" s="24">
        <v>-2.4899999999999998</v>
      </c>
      <c r="P19" s="24">
        <v>-1.6519999999999999</v>
      </c>
      <c r="Q19" s="24">
        <v>-1.871</v>
      </c>
      <c r="R19" s="24">
        <v>-2.871</v>
      </c>
      <c r="S19" s="24">
        <v>-2.8</v>
      </c>
      <c r="T19" s="24">
        <v>-3.8220000000000001</v>
      </c>
      <c r="U19" s="24">
        <v>-2.8119999999999998</v>
      </c>
      <c r="V19" s="24">
        <v>-3.1119999999999997</v>
      </c>
      <c r="W19" s="24">
        <v>-5.55</v>
      </c>
      <c r="X19" s="24">
        <v>-8.9</v>
      </c>
      <c r="Y19" s="24">
        <v>-12.545</v>
      </c>
      <c r="Z19" s="24">
        <v>-17.861999999999998</v>
      </c>
      <c r="AA19" s="24">
        <v>-23.074999999999999</v>
      </c>
      <c r="AB19" s="24">
        <v>-29.475000000000001</v>
      </c>
      <c r="AC19" s="25">
        <v>-36.909045000000006</v>
      </c>
      <c r="AD19" s="25">
        <v>-40.936350000000004</v>
      </c>
      <c r="AE19" s="25">
        <v>-47.450001</v>
      </c>
      <c r="AF19" s="25">
        <v>-53.907379999999996</v>
      </c>
      <c r="AG19" s="25">
        <v>-60.458192799999999</v>
      </c>
      <c r="AH19" s="25">
        <v>-42.687289200000002</v>
      </c>
      <c r="AI19" s="25">
        <v>-14.817593</v>
      </c>
      <c r="AJ19" s="24">
        <v>-5.4228542800000001</v>
      </c>
      <c r="AK19" s="232">
        <v>-3.43337688</v>
      </c>
      <c r="AL19" s="24">
        <v>-2.44312686</v>
      </c>
      <c r="AM19" s="25">
        <v>-2.5</v>
      </c>
      <c r="AN19" s="24">
        <v>-4.1377740000000003</v>
      </c>
      <c r="AO19" s="24">
        <v>-6.7490734999999997</v>
      </c>
      <c r="AP19" s="24">
        <v>-10.75672552</v>
      </c>
      <c r="AQ19" s="24">
        <v>-15.439</v>
      </c>
      <c r="AR19" s="24">
        <v>-22.189</v>
      </c>
      <c r="AS19" s="232">
        <v>-30.012010029999999</v>
      </c>
      <c r="AT19" s="25">
        <v>-28.671770989999999</v>
      </c>
      <c r="AU19" s="25">
        <v>-22.91</v>
      </c>
      <c r="AV19" s="24">
        <v>-20.45</v>
      </c>
      <c r="AW19" s="24">
        <v>-21.584876520000002</v>
      </c>
      <c r="AX19" s="24">
        <v>-18.409058529999999</v>
      </c>
      <c r="AY19" s="24">
        <v>-13.907</v>
      </c>
      <c r="AZ19" s="24">
        <v>-14.475</v>
      </c>
      <c r="BA19" s="24">
        <v>-15.186360000000001</v>
      </c>
      <c r="BB19" s="24">
        <v>-14.178072999999999</v>
      </c>
      <c r="BC19" s="24">
        <v>-14.5</v>
      </c>
      <c r="BD19" s="24">
        <v>-16</v>
      </c>
      <c r="BE19" s="24">
        <v>-12.12</v>
      </c>
      <c r="BF19" s="24">
        <v>-12.3</v>
      </c>
      <c r="BG19" s="24">
        <v>-5.5650000000000004</v>
      </c>
      <c r="BH19" s="24">
        <v>-10.419</v>
      </c>
      <c r="BI19" s="232">
        <v>-18.914000000000001</v>
      </c>
      <c r="BJ19" s="24">
        <v>-20.353999999999999</v>
      </c>
      <c r="BK19" s="24">
        <v>-21.552365279999997</v>
      </c>
      <c r="BL19" s="24">
        <v>-23.857705790000001</v>
      </c>
      <c r="BM19" s="24">
        <v>-26.003809560000001</v>
      </c>
      <c r="BN19" s="24">
        <v>-25.501287760000007</v>
      </c>
      <c r="BO19" s="24">
        <v>-24.91267856</v>
      </c>
      <c r="BP19" s="232">
        <v>-27.369087209999989</v>
      </c>
      <c r="BQ19" s="24">
        <v>-29.042621059999998</v>
      </c>
      <c r="BR19" s="232">
        <v>-29.099865310000009</v>
      </c>
      <c r="BS19" s="24">
        <v>-29.035</v>
      </c>
      <c r="BT19" s="24">
        <v>-29.456</v>
      </c>
      <c r="BU19" s="24">
        <v>-28.978000000000002</v>
      </c>
      <c r="BV19" s="24">
        <v>-34.393190689999798</v>
      </c>
      <c r="BW19" s="25">
        <v>-21.316934539999998</v>
      </c>
      <c r="BX19" s="25">
        <v>-20.692108480000002</v>
      </c>
      <c r="BY19" s="25">
        <v>-22.523740750000009</v>
      </c>
      <c r="BZ19" s="24">
        <v>-22.734577829999999</v>
      </c>
      <c r="CA19" s="24">
        <v>-17.852391769999993</v>
      </c>
      <c r="CB19" s="24">
        <v>-19.80888113</v>
      </c>
      <c r="CC19" s="24">
        <v>-20.596647310000002</v>
      </c>
      <c r="CD19" s="24">
        <v>-22.228322510000002</v>
      </c>
      <c r="CE19" s="24">
        <v>-21.895422609999997</v>
      </c>
      <c r="CF19" s="24">
        <v>-25.28231165</v>
      </c>
      <c r="CG19" s="24">
        <v>-26.741581699999998</v>
      </c>
      <c r="CH19" s="24">
        <v>-32.44095317</v>
      </c>
      <c r="CI19" s="24">
        <v>-31.558835399999921</v>
      </c>
      <c r="CJ19" s="24">
        <v>-34.103090420000022</v>
      </c>
      <c r="CK19" s="24">
        <v>-37.30277940000002</v>
      </c>
      <c r="CL19" s="24">
        <v>-43.568296549999978</v>
      </c>
      <c r="CM19" s="24">
        <v>-158.9128244100001</v>
      </c>
      <c r="CN19" s="24">
        <v>-218.2030169299986</v>
      </c>
      <c r="CO19" s="24">
        <v>-291.4539374600003</v>
      </c>
      <c r="CP19" s="24">
        <v>-297.89747465999977</v>
      </c>
      <c r="CQ19" s="24">
        <v>-308.88160468000069</v>
      </c>
      <c r="CR19" s="25">
        <v>-314.22065442000007</v>
      </c>
      <c r="CS19" s="25">
        <v>-298.95506628999988</v>
      </c>
      <c r="CT19" s="25">
        <v>-255.77721265999989</v>
      </c>
      <c r="CU19" s="69">
        <v>-193.17431912000001</v>
      </c>
      <c r="CW19" s="2"/>
    </row>
    <row r="20" spans="1:102" s="188" customFormat="1" x14ac:dyDescent="0.2">
      <c r="A20" s="27" t="s">
        <v>27</v>
      </c>
      <c r="B20" s="233"/>
      <c r="C20" s="28">
        <f t="shared" ref="C20:AP20" si="7">SUM(C18:C19)</f>
        <v>5.1999999999999993</v>
      </c>
      <c r="D20" s="28">
        <f t="shared" si="7"/>
        <v>5.5</v>
      </c>
      <c r="E20" s="28">
        <f t="shared" si="7"/>
        <v>7.3</v>
      </c>
      <c r="F20" s="28">
        <f t="shared" si="7"/>
        <v>9.3000000000000007</v>
      </c>
      <c r="G20" s="28">
        <f t="shared" si="7"/>
        <v>9.7999999999999989</v>
      </c>
      <c r="H20" s="28">
        <f t="shared" si="7"/>
        <v>9.6</v>
      </c>
      <c r="I20" s="28">
        <f t="shared" si="7"/>
        <v>10</v>
      </c>
      <c r="J20" s="28">
        <f t="shared" si="7"/>
        <v>10.7</v>
      </c>
      <c r="K20" s="28">
        <f t="shared" si="7"/>
        <v>10.228</v>
      </c>
      <c r="L20" s="28">
        <f t="shared" si="7"/>
        <v>10.693999999999999</v>
      </c>
      <c r="M20" s="28">
        <f t="shared" si="7"/>
        <v>11.209999999999999</v>
      </c>
      <c r="N20" s="28">
        <f t="shared" si="7"/>
        <v>13.01</v>
      </c>
      <c r="O20" s="28">
        <f t="shared" si="7"/>
        <v>15.31</v>
      </c>
      <c r="P20" s="28">
        <f t="shared" si="7"/>
        <v>14.348000000000001</v>
      </c>
      <c r="Q20" s="28">
        <f t="shared" si="7"/>
        <v>14.629</v>
      </c>
      <c r="R20" s="28">
        <f t="shared" si="7"/>
        <v>15.429</v>
      </c>
      <c r="S20" s="28">
        <f t="shared" si="7"/>
        <v>17.3</v>
      </c>
      <c r="T20" s="28">
        <f t="shared" si="7"/>
        <v>19.278000000000002</v>
      </c>
      <c r="U20" s="28">
        <f t="shared" si="7"/>
        <v>20.488</v>
      </c>
      <c r="V20" s="28">
        <f t="shared" si="7"/>
        <v>23.388000000000002</v>
      </c>
      <c r="W20" s="28">
        <f t="shared" si="7"/>
        <v>30.150000000000002</v>
      </c>
      <c r="X20" s="28">
        <f t="shared" si="7"/>
        <v>35.9</v>
      </c>
      <c r="Y20" s="28">
        <f t="shared" si="7"/>
        <v>32.954999999999998</v>
      </c>
      <c r="Z20" s="28">
        <f t="shared" si="7"/>
        <v>36.838000000000008</v>
      </c>
      <c r="AA20" s="28">
        <f t="shared" si="7"/>
        <v>40.325000000000003</v>
      </c>
      <c r="AB20" s="28">
        <f t="shared" si="7"/>
        <v>43.225000000000001</v>
      </c>
      <c r="AC20" s="235">
        <f t="shared" si="7"/>
        <v>41.090954999999994</v>
      </c>
      <c r="AD20" s="235">
        <f t="shared" si="7"/>
        <v>47.063649999999996</v>
      </c>
      <c r="AE20" s="235">
        <f t="shared" si="7"/>
        <v>49.349998999999997</v>
      </c>
      <c r="AF20" s="235">
        <f t="shared" si="7"/>
        <v>49.492620000000009</v>
      </c>
      <c r="AG20" s="235">
        <f t="shared" si="7"/>
        <v>47.541807200000001</v>
      </c>
      <c r="AH20" s="235">
        <f t="shared" si="7"/>
        <v>43.312710799999998</v>
      </c>
      <c r="AI20" s="235">
        <f t="shared" si="7"/>
        <v>33.082406999999996</v>
      </c>
      <c r="AJ20" s="28">
        <f t="shared" si="7"/>
        <v>25.577145720000001</v>
      </c>
      <c r="AK20" s="235">
        <f t="shared" si="7"/>
        <v>24.566623119999999</v>
      </c>
      <c r="AL20" s="28">
        <f t="shared" si="7"/>
        <v>27.55687314</v>
      </c>
      <c r="AM20" s="235">
        <f t="shared" si="7"/>
        <v>30.5</v>
      </c>
      <c r="AN20" s="28">
        <f t="shared" si="7"/>
        <v>32.862226</v>
      </c>
      <c r="AO20" s="28">
        <f t="shared" si="7"/>
        <v>37.250926499999998</v>
      </c>
      <c r="AP20" s="28">
        <f t="shared" si="7"/>
        <v>48.243274479999997</v>
      </c>
      <c r="AQ20" s="28">
        <f t="shared" ref="AQ20:CQ20" si="8">AQ18+AQ19</f>
        <v>57.045584999999996</v>
      </c>
      <c r="AR20" s="28">
        <f t="shared" si="8"/>
        <v>61.033014000000001</v>
      </c>
      <c r="AS20" s="28">
        <f t="shared" si="8"/>
        <v>61.004090970000007</v>
      </c>
      <c r="AT20" s="28">
        <f t="shared" si="8"/>
        <v>60.306097010000002</v>
      </c>
      <c r="AU20" s="28">
        <f t="shared" si="8"/>
        <v>56.136870000000002</v>
      </c>
      <c r="AV20" s="28">
        <f t="shared" si="8"/>
        <v>55.645814000000001</v>
      </c>
      <c r="AW20" s="28">
        <f t="shared" si="8"/>
        <v>53.107746479999996</v>
      </c>
      <c r="AX20" s="28">
        <f t="shared" si="8"/>
        <v>45.444212469999997</v>
      </c>
      <c r="AY20" s="28">
        <f t="shared" si="8"/>
        <v>42.470997999999994</v>
      </c>
      <c r="AZ20" s="28">
        <f t="shared" si="8"/>
        <v>42.340778</v>
      </c>
      <c r="BA20" s="28">
        <f t="shared" si="8"/>
        <v>43.669893999999999</v>
      </c>
      <c r="BB20" s="28">
        <f t="shared" si="8"/>
        <v>46.892368000000005</v>
      </c>
      <c r="BC20" s="28">
        <f t="shared" si="8"/>
        <v>43.938091</v>
      </c>
      <c r="BD20" s="28">
        <f t="shared" si="8"/>
        <v>46.572008999999994</v>
      </c>
      <c r="BE20" s="28">
        <f t="shared" si="8"/>
        <v>39.367964000000008</v>
      </c>
      <c r="BF20" s="28">
        <f t="shared" si="8"/>
        <v>37.685873000000001</v>
      </c>
      <c r="BG20" s="28">
        <f t="shared" si="8"/>
        <v>35.811774</v>
      </c>
      <c r="BH20" s="28">
        <f t="shared" si="8"/>
        <v>28.609587000000001</v>
      </c>
      <c r="BI20" s="28">
        <f t="shared" si="8"/>
        <v>20.91525</v>
      </c>
      <c r="BJ20" s="28">
        <f t="shared" si="8"/>
        <v>22.546395000000004</v>
      </c>
      <c r="BK20" s="28">
        <f t="shared" si="8"/>
        <v>22.866839400000003</v>
      </c>
      <c r="BL20" s="28">
        <f t="shared" si="8"/>
        <v>18.642759429999987</v>
      </c>
      <c r="BM20" s="28">
        <f t="shared" si="8"/>
        <v>16.734839799999996</v>
      </c>
      <c r="BN20" s="28">
        <f t="shared" si="8"/>
        <v>22.034126010000005</v>
      </c>
      <c r="BO20" s="28">
        <f t="shared" si="8"/>
        <v>20.697850190000008</v>
      </c>
      <c r="BP20" s="28">
        <f t="shared" si="8"/>
        <v>19.615553820000017</v>
      </c>
      <c r="BQ20" s="28">
        <f t="shared" si="8"/>
        <v>18.890104969999978</v>
      </c>
      <c r="BR20" s="28">
        <f t="shared" si="8"/>
        <v>20.179936520000002</v>
      </c>
      <c r="BS20" s="28">
        <f t="shared" si="8"/>
        <v>22.673376999999999</v>
      </c>
      <c r="BT20" s="28">
        <f t="shared" si="8"/>
        <v>22.359316999999994</v>
      </c>
      <c r="BU20" s="28">
        <f t="shared" si="8"/>
        <v>24.496504999999999</v>
      </c>
      <c r="BV20" s="28">
        <f t="shared" si="8"/>
        <v>21.029736770000198</v>
      </c>
      <c r="BW20" s="28">
        <f>BW18+BW19</f>
        <v>30.276147700000003</v>
      </c>
      <c r="BX20" s="28">
        <f t="shared" si="8"/>
        <v>41.98017036999989</v>
      </c>
      <c r="BY20" s="28">
        <f t="shared" si="8"/>
        <v>44.749346469999999</v>
      </c>
      <c r="BZ20" s="28">
        <f t="shared" si="8"/>
        <v>48.327695049999996</v>
      </c>
      <c r="CA20" s="28">
        <f t="shared" si="8"/>
        <v>63.672363069999989</v>
      </c>
      <c r="CB20" s="28">
        <f t="shared" si="8"/>
        <v>73.420801359999984</v>
      </c>
      <c r="CC20" s="28">
        <f t="shared" si="8"/>
        <v>73.60692598</v>
      </c>
      <c r="CD20" s="28">
        <f t="shared" si="8"/>
        <v>72.616059450000009</v>
      </c>
      <c r="CE20" s="28">
        <f t="shared" si="8"/>
        <v>76.390721080000034</v>
      </c>
      <c r="CF20" s="28">
        <f t="shared" si="8"/>
        <v>79.994168380000019</v>
      </c>
      <c r="CG20" s="28">
        <f t="shared" si="8"/>
        <v>82.845074589999967</v>
      </c>
      <c r="CH20" s="28">
        <f t="shared" si="8"/>
        <v>82.117027879999995</v>
      </c>
      <c r="CI20" s="28">
        <f t="shared" si="8"/>
        <v>82.987147980000501</v>
      </c>
      <c r="CJ20" s="28">
        <f t="shared" si="8"/>
        <v>115.04049354999987</v>
      </c>
      <c r="CK20" s="28">
        <f t="shared" si="8"/>
        <v>222.06639209999986</v>
      </c>
      <c r="CL20" s="28">
        <f t="shared" si="8"/>
        <v>368.88009487000005</v>
      </c>
      <c r="CM20" s="28">
        <f t="shared" si="8"/>
        <v>349.13907013000005</v>
      </c>
      <c r="CN20" s="28">
        <f t="shared" si="8"/>
        <v>389.82965534000152</v>
      </c>
      <c r="CO20" s="28">
        <f t="shared" si="8"/>
        <v>404.03769824999978</v>
      </c>
      <c r="CP20" s="28">
        <f t="shared" si="8"/>
        <v>430.6133650000001</v>
      </c>
      <c r="CQ20" s="28">
        <f t="shared" si="8"/>
        <v>408.9990171099995</v>
      </c>
      <c r="CR20" s="235">
        <f t="shared" ref="CR20:CT20" si="9">CR18+CR19</f>
        <v>398.43847002999996</v>
      </c>
      <c r="CS20" s="235">
        <f t="shared" si="9"/>
        <v>387.79556681000054</v>
      </c>
      <c r="CT20" s="235">
        <f t="shared" si="9"/>
        <v>384.98689856000021</v>
      </c>
      <c r="CU20" s="336">
        <f t="shared" ref="CU20" si="10">CU18+CU19</f>
        <v>371.6042866599999</v>
      </c>
      <c r="CV20"/>
      <c r="CX20" s="2"/>
    </row>
    <row r="21" spans="1:102" x14ac:dyDescent="0.2">
      <c r="A21" s="23" t="s">
        <v>111</v>
      </c>
      <c r="B21" s="231"/>
      <c r="C21" s="24" t="s">
        <v>34</v>
      </c>
      <c r="D21" s="24" t="s">
        <v>34</v>
      </c>
      <c r="E21" s="24" t="s">
        <v>34</v>
      </c>
      <c r="F21" s="24" t="s">
        <v>34</v>
      </c>
      <c r="G21" s="24" t="s">
        <v>34</v>
      </c>
      <c r="H21" s="24" t="s">
        <v>34</v>
      </c>
      <c r="I21" s="24" t="s">
        <v>34</v>
      </c>
      <c r="J21" s="24" t="s">
        <v>34</v>
      </c>
      <c r="K21" s="24" t="s">
        <v>34</v>
      </c>
      <c r="L21" s="24" t="s">
        <v>34</v>
      </c>
      <c r="M21" s="24" t="s">
        <v>34</v>
      </c>
      <c r="N21" s="24" t="s">
        <v>34</v>
      </c>
      <c r="O21" s="24" t="s">
        <v>34</v>
      </c>
      <c r="P21" s="24" t="s">
        <v>34</v>
      </c>
      <c r="Q21" s="24" t="s">
        <v>34</v>
      </c>
      <c r="R21" s="24" t="s">
        <v>34</v>
      </c>
      <c r="S21" s="24" t="s">
        <v>34</v>
      </c>
      <c r="T21" s="24" t="s">
        <v>34</v>
      </c>
      <c r="U21" s="24" t="s">
        <v>34</v>
      </c>
      <c r="V21" s="24" t="s">
        <v>34</v>
      </c>
      <c r="W21" s="24" t="s">
        <v>34</v>
      </c>
      <c r="X21" s="24" t="s">
        <v>34</v>
      </c>
      <c r="Y21" s="24" t="s">
        <v>34</v>
      </c>
      <c r="Z21" s="24" t="s">
        <v>34</v>
      </c>
      <c r="AA21" s="24" t="s">
        <v>34</v>
      </c>
      <c r="AB21" s="24" t="s">
        <v>34</v>
      </c>
      <c r="AC21" s="24" t="s">
        <v>34</v>
      </c>
      <c r="AD21" s="24" t="s">
        <v>34</v>
      </c>
      <c r="AE21" s="24" t="s">
        <v>34</v>
      </c>
      <c r="AF21" s="24" t="s">
        <v>34</v>
      </c>
      <c r="AG21" s="24" t="s">
        <v>34</v>
      </c>
      <c r="AH21" s="24" t="s">
        <v>34</v>
      </c>
      <c r="AI21" s="24" t="s">
        <v>34</v>
      </c>
      <c r="AJ21" s="24" t="s">
        <v>34</v>
      </c>
      <c r="AK21" s="24" t="s">
        <v>34</v>
      </c>
      <c r="AL21" s="24" t="s">
        <v>34</v>
      </c>
      <c r="AM21" s="24" t="s">
        <v>34</v>
      </c>
      <c r="AN21" s="24" t="s">
        <v>34</v>
      </c>
      <c r="AO21" s="24" t="s">
        <v>34</v>
      </c>
      <c r="AP21" s="24" t="s">
        <v>34</v>
      </c>
      <c r="AQ21" s="24" t="s">
        <v>34</v>
      </c>
      <c r="AR21" s="24" t="s">
        <v>34</v>
      </c>
      <c r="AS21" s="24" t="s">
        <v>34</v>
      </c>
      <c r="AT21" s="24" t="s">
        <v>34</v>
      </c>
      <c r="AU21" s="24" t="s">
        <v>34</v>
      </c>
      <c r="AV21" s="24" t="s">
        <v>34</v>
      </c>
      <c r="AW21" s="24" t="s">
        <v>34</v>
      </c>
      <c r="AX21" s="24" t="s">
        <v>34</v>
      </c>
      <c r="AY21" s="24" t="s">
        <v>34</v>
      </c>
      <c r="AZ21" s="24" t="s">
        <v>34</v>
      </c>
      <c r="BA21" s="24" t="s">
        <v>34</v>
      </c>
      <c r="BB21" s="24" t="s">
        <v>34</v>
      </c>
      <c r="BC21" s="24" t="s">
        <v>34</v>
      </c>
      <c r="BD21" s="24" t="s">
        <v>34</v>
      </c>
      <c r="BE21" s="24" t="s">
        <v>34</v>
      </c>
      <c r="BF21" s="24" t="s">
        <v>34</v>
      </c>
      <c r="BG21" s="24" t="s">
        <v>34</v>
      </c>
      <c r="BH21" s="24" t="s">
        <v>34</v>
      </c>
      <c r="BI21" s="24" t="s">
        <v>34</v>
      </c>
      <c r="BJ21" s="24" t="s">
        <v>34</v>
      </c>
      <c r="BK21" s="24">
        <v>12.24</v>
      </c>
      <c r="BL21" s="24">
        <v>14.34</v>
      </c>
      <c r="BM21" s="24">
        <v>13.53</v>
      </c>
      <c r="BN21" s="24">
        <v>12.46</v>
      </c>
      <c r="BO21" s="24">
        <v>12.3</v>
      </c>
      <c r="BP21" s="232">
        <v>14.66</v>
      </c>
      <c r="BQ21" s="24">
        <v>14.82</v>
      </c>
      <c r="BR21" s="232">
        <v>13.85</v>
      </c>
      <c r="BS21" s="24">
        <v>17.177508000000003</v>
      </c>
      <c r="BT21" s="24">
        <v>15.223740500000002</v>
      </c>
      <c r="BU21" s="24">
        <v>15.858198009999999</v>
      </c>
      <c r="BV21" s="24">
        <v>18.222881999999998</v>
      </c>
      <c r="BW21" s="25">
        <v>18.958449000000002</v>
      </c>
      <c r="BX21" s="25">
        <v>18.125577679999999</v>
      </c>
      <c r="BY21" s="25">
        <v>20.41184299</v>
      </c>
      <c r="BZ21" s="24">
        <v>18.791653010000001</v>
      </c>
      <c r="CA21" s="24">
        <v>29.34068899</v>
      </c>
      <c r="CB21" s="24">
        <v>25.880500990000002</v>
      </c>
      <c r="CC21" s="24">
        <v>24.264915989999999</v>
      </c>
      <c r="CD21" s="24">
        <v>23.11874001</v>
      </c>
      <c r="CE21" s="24">
        <v>31.896339019999999</v>
      </c>
      <c r="CF21" s="24">
        <v>31.67903900000001</v>
      </c>
      <c r="CG21" s="24">
        <v>45.562820989999999</v>
      </c>
      <c r="CH21" s="24">
        <v>49.458221979999998</v>
      </c>
      <c r="CI21" s="24">
        <v>50.83844199</v>
      </c>
      <c r="CJ21" s="24">
        <v>36.685256010000003</v>
      </c>
      <c r="CK21" s="24">
        <v>49.23277599</v>
      </c>
      <c r="CL21" s="24">
        <v>45.588515989999998</v>
      </c>
      <c r="CM21" s="24">
        <v>38.694047019999999</v>
      </c>
      <c r="CN21" s="24">
        <v>27.797498969999999</v>
      </c>
      <c r="CO21" s="24">
        <v>33.001663989999997</v>
      </c>
      <c r="CP21" s="24">
        <v>42.689449000000003</v>
      </c>
      <c r="CQ21" s="24">
        <v>42.472535010000009</v>
      </c>
      <c r="CR21" s="25">
        <v>37.009199629999998</v>
      </c>
      <c r="CS21" s="25">
        <v>51.058480630000012</v>
      </c>
      <c r="CT21" s="25">
        <v>48.780474079999998</v>
      </c>
      <c r="CU21" s="69">
        <v>64.380776020000013</v>
      </c>
    </row>
    <row r="22" spans="1:102" x14ac:dyDescent="0.2">
      <c r="A22" s="23" t="s">
        <v>112</v>
      </c>
      <c r="B22" s="180"/>
      <c r="C22" s="19" t="s">
        <v>49</v>
      </c>
      <c r="D22" s="19" t="s">
        <v>49</v>
      </c>
      <c r="E22" s="19" t="s">
        <v>49</v>
      </c>
      <c r="F22" s="19" t="s">
        <v>49</v>
      </c>
      <c r="G22" s="19" t="s">
        <v>49</v>
      </c>
      <c r="H22" s="19" t="s">
        <v>49</v>
      </c>
      <c r="I22" s="19" t="s">
        <v>49</v>
      </c>
      <c r="J22" s="19" t="s">
        <v>49</v>
      </c>
      <c r="K22" s="19" t="s">
        <v>49</v>
      </c>
      <c r="L22" s="19" t="s">
        <v>49</v>
      </c>
      <c r="M22" s="19" t="s">
        <v>49</v>
      </c>
      <c r="N22" s="19" t="s">
        <v>49</v>
      </c>
      <c r="O22" s="19" t="s">
        <v>49</v>
      </c>
      <c r="P22" s="19" t="s">
        <v>49</v>
      </c>
      <c r="Q22" s="19" t="s">
        <v>49</v>
      </c>
      <c r="R22" s="19" t="s">
        <v>49</v>
      </c>
      <c r="S22" s="19" t="s">
        <v>49</v>
      </c>
      <c r="T22" s="19" t="s">
        <v>49</v>
      </c>
      <c r="U22" s="19" t="s">
        <v>49</v>
      </c>
      <c r="V22" s="19" t="s">
        <v>49</v>
      </c>
      <c r="W22" s="19" t="s">
        <v>49</v>
      </c>
      <c r="X22" s="19" t="s">
        <v>49</v>
      </c>
      <c r="Y22" s="19" t="s">
        <v>49</v>
      </c>
      <c r="Z22" s="19" t="s">
        <v>49</v>
      </c>
      <c r="AA22" s="19" t="s">
        <v>49</v>
      </c>
      <c r="AB22" s="19" t="s">
        <v>49</v>
      </c>
      <c r="AC22" s="19" t="s">
        <v>49</v>
      </c>
      <c r="AD22" s="19" t="s">
        <v>49</v>
      </c>
      <c r="AE22" s="19" t="s">
        <v>49</v>
      </c>
      <c r="AF22" s="19" t="s">
        <v>49</v>
      </c>
      <c r="AG22" s="19" t="s">
        <v>49</v>
      </c>
      <c r="AH22" s="19" t="s">
        <v>49</v>
      </c>
      <c r="AI22" s="19" t="s">
        <v>49</v>
      </c>
      <c r="AJ22" s="19" t="s">
        <v>49</v>
      </c>
      <c r="AK22" s="19" t="s">
        <v>49</v>
      </c>
      <c r="AL22" s="19" t="s">
        <v>49</v>
      </c>
      <c r="AM22" s="19" t="s">
        <v>49</v>
      </c>
      <c r="AN22" s="19" t="s">
        <v>49</v>
      </c>
      <c r="AO22" s="19" t="s">
        <v>49</v>
      </c>
      <c r="AP22" s="19" t="s">
        <v>49</v>
      </c>
      <c r="AQ22" s="19" t="s">
        <v>49</v>
      </c>
      <c r="AR22" s="19" t="s">
        <v>49</v>
      </c>
      <c r="AS22" s="19" t="s">
        <v>49</v>
      </c>
      <c r="AT22" s="19" t="s">
        <v>49</v>
      </c>
      <c r="AU22" s="19" t="s">
        <v>49</v>
      </c>
      <c r="AV22" s="19" t="s">
        <v>49</v>
      </c>
      <c r="AW22" s="19" t="s">
        <v>49</v>
      </c>
      <c r="AX22" s="19" t="s">
        <v>49</v>
      </c>
      <c r="AY22" s="19" t="s">
        <v>49</v>
      </c>
      <c r="AZ22" s="19" t="s">
        <v>49</v>
      </c>
      <c r="BA22" s="19" t="s">
        <v>49</v>
      </c>
      <c r="BB22" s="19" t="s">
        <v>49</v>
      </c>
      <c r="BC22" s="19" t="s">
        <v>49</v>
      </c>
      <c r="BD22" s="19" t="s">
        <v>49</v>
      </c>
      <c r="BE22" s="19" t="s">
        <v>49</v>
      </c>
      <c r="BF22" s="19" t="s">
        <v>49</v>
      </c>
      <c r="BG22" s="19" t="s">
        <v>49</v>
      </c>
      <c r="BH22" s="19" t="s">
        <v>49</v>
      </c>
      <c r="BI22" s="19" t="s">
        <v>49</v>
      </c>
      <c r="BJ22" s="19" t="s">
        <v>49</v>
      </c>
      <c r="BK22" s="24">
        <v>3.78</v>
      </c>
      <c r="BL22" s="24">
        <v>15.55</v>
      </c>
      <c r="BM22" s="24">
        <v>0.88</v>
      </c>
      <c r="BN22" s="24">
        <v>10.64</v>
      </c>
      <c r="BO22" s="24">
        <v>8.0500000000000007</v>
      </c>
      <c r="BP22" s="232">
        <v>8.5500000000000007</v>
      </c>
      <c r="BQ22" s="24">
        <v>1.24</v>
      </c>
      <c r="BR22" s="232">
        <v>16.690000000000001</v>
      </c>
      <c r="BS22" s="24">
        <v>6.5757060000000003</v>
      </c>
      <c r="BT22" s="24">
        <v>8.0079470600000011</v>
      </c>
      <c r="BU22" s="24">
        <v>1.517128</v>
      </c>
      <c r="BV22" s="24">
        <v>7.4969950000000001</v>
      </c>
      <c r="BW22" s="25">
        <v>4.4291239999999998</v>
      </c>
      <c r="BX22" s="25">
        <v>7.0262510000000002</v>
      </c>
      <c r="BY22" s="25">
        <v>3.106236</v>
      </c>
      <c r="BZ22" s="24">
        <v>12.725985</v>
      </c>
      <c r="CA22" s="24">
        <v>13.644941000000001</v>
      </c>
      <c r="CB22" s="24">
        <v>2.4972210000000001</v>
      </c>
      <c r="CC22" s="24">
        <v>3.154531</v>
      </c>
      <c r="CD22" s="24">
        <v>17.415866000000001</v>
      </c>
      <c r="CE22" s="24">
        <v>22.849661000000001</v>
      </c>
      <c r="CF22" s="24">
        <v>22.949107119999997</v>
      </c>
      <c r="CG22" s="24">
        <v>19.921042999999997</v>
      </c>
      <c r="CH22" s="24">
        <v>22.804629999999992</v>
      </c>
      <c r="CI22" s="24">
        <v>2.1382500000000002</v>
      </c>
      <c r="CJ22" s="24">
        <v>2.5108870000000003</v>
      </c>
      <c r="CK22" s="24">
        <v>1.0755000000000001</v>
      </c>
      <c r="CL22" s="24">
        <v>4.8610600000000002</v>
      </c>
      <c r="CM22" s="24">
        <v>0.37749999999999995</v>
      </c>
      <c r="CN22" s="24">
        <v>2.106446</v>
      </c>
      <c r="CO22" s="24">
        <v>1.0015399999999999</v>
      </c>
      <c r="CP22" s="24">
        <v>12.990936999999999</v>
      </c>
      <c r="CQ22" s="24">
        <v>2.1206509999999996</v>
      </c>
      <c r="CR22" s="25">
        <v>3.5309490000000001</v>
      </c>
      <c r="CS22" s="25">
        <v>3.9013813800000001</v>
      </c>
      <c r="CT22" s="25">
        <v>5.2539449999999999</v>
      </c>
      <c r="CU22" s="69">
        <v>17.693019000000003</v>
      </c>
    </row>
    <row r="23" spans="1:102" x14ac:dyDescent="0.2">
      <c r="A23" s="23" t="s">
        <v>190</v>
      </c>
      <c r="B23" s="231"/>
      <c r="C23" s="19" t="s">
        <v>49</v>
      </c>
      <c r="D23" s="19" t="s">
        <v>49</v>
      </c>
      <c r="E23" s="19" t="s">
        <v>49</v>
      </c>
      <c r="F23" s="19" t="s">
        <v>49</v>
      </c>
      <c r="G23" s="19" t="s">
        <v>49</v>
      </c>
      <c r="H23" s="19" t="s">
        <v>49</v>
      </c>
      <c r="I23" s="19" t="s">
        <v>49</v>
      </c>
      <c r="J23" s="19" t="s">
        <v>49</v>
      </c>
      <c r="K23" s="19" t="s">
        <v>49</v>
      </c>
      <c r="L23" s="19" t="s">
        <v>49</v>
      </c>
      <c r="M23" s="19" t="s">
        <v>49</v>
      </c>
      <c r="N23" s="19" t="s">
        <v>49</v>
      </c>
      <c r="O23" s="19" t="s">
        <v>49</v>
      </c>
      <c r="P23" s="19" t="s">
        <v>49</v>
      </c>
      <c r="Q23" s="19" t="s">
        <v>49</v>
      </c>
      <c r="R23" s="19" t="s">
        <v>49</v>
      </c>
      <c r="S23" s="19" t="s">
        <v>49</v>
      </c>
      <c r="T23" s="19" t="s">
        <v>49</v>
      </c>
      <c r="U23" s="19" t="s">
        <v>49</v>
      </c>
      <c r="V23" s="19" t="s">
        <v>49</v>
      </c>
      <c r="W23" s="19" t="s">
        <v>49</v>
      </c>
      <c r="X23" s="19" t="s">
        <v>49</v>
      </c>
      <c r="Y23" s="19" t="s">
        <v>49</v>
      </c>
      <c r="Z23" s="19" t="s">
        <v>49</v>
      </c>
      <c r="AA23" s="19" t="s">
        <v>49</v>
      </c>
      <c r="AB23" s="19" t="s">
        <v>49</v>
      </c>
      <c r="AC23" s="19" t="s">
        <v>49</v>
      </c>
      <c r="AD23" s="19" t="s">
        <v>49</v>
      </c>
      <c r="AE23" s="19" t="s">
        <v>49</v>
      </c>
      <c r="AF23" s="19" t="s">
        <v>49</v>
      </c>
      <c r="AG23" s="19" t="s">
        <v>49</v>
      </c>
      <c r="AH23" s="19" t="s">
        <v>49</v>
      </c>
      <c r="AI23" s="19" t="s">
        <v>49</v>
      </c>
      <c r="AJ23" s="19" t="s">
        <v>49</v>
      </c>
      <c r="AK23" s="19" t="s">
        <v>49</v>
      </c>
      <c r="AL23" s="19" t="s">
        <v>49</v>
      </c>
      <c r="AM23" s="19" t="s">
        <v>49</v>
      </c>
      <c r="AN23" s="19" t="s">
        <v>49</v>
      </c>
      <c r="AO23" s="19" t="s">
        <v>49</v>
      </c>
      <c r="AP23" s="19" t="s">
        <v>49</v>
      </c>
      <c r="AQ23" s="19" t="s">
        <v>49</v>
      </c>
      <c r="AR23" s="19" t="s">
        <v>49</v>
      </c>
      <c r="AS23" s="19" t="s">
        <v>49</v>
      </c>
      <c r="AT23" s="19" t="s">
        <v>49</v>
      </c>
      <c r="AU23" s="19" t="s">
        <v>49</v>
      </c>
      <c r="AV23" s="19" t="s">
        <v>49</v>
      </c>
      <c r="AW23" s="19" t="s">
        <v>49</v>
      </c>
      <c r="AX23" s="19" t="s">
        <v>49</v>
      </c>
      <c r="AY23" s="19" t="s">
        <v>49</v>
      </c>
      <c r="AZ23" s="19" t="s">
        <v>49</v>
      </c>
      <c r="BA23" s="19" t="s">
        <v>49</v>
      </c>
      <c r="BB23" s="19" t="s">
        <v>49</v>
      </c>
      <c r="BC23" s="19" t="s">
        <v>49</v>
      </c>
      <c r="BD23" s="19" t="s">
        <v>49</v>
      </c>
      <c r="BE23" s="19" t="s">
        <v>49</v>
      </c>
      <c r="BF23" s="19" t="s">
        <v>49</v>
      </c>
      <c r="BG23" s="19" t="s">
        <v>49</v>
      </c>
      <c r="BH23" s="19" t="s">
        <v>49</v>
      </c>
      <c r="BI23" s="19" t="s">
        <v>49</v>
      </c>
      <c r="BJ23" s="19" t="s">
        <v>49</v>
      </c>
      <c r="BK23" s="24">
        <v>23.13807180000013</v>
      </c>
      <c r="BL23" s="24">
        <v>24.235449860000198</v>
      </c>
      <c r="BM23" s="24">
        <v>22.381599410000042</v>
      </c>
      <c r="BN23" s="24">
        <v>23.940070490000078</v>
      </c>
      <c r="BO23" s="24">
        <v>23.018685240000117</v>
      </c>
      <c r="BP23" s="232">
        <v>24.035680530000143</v>
      </c>
      <c r="BQ23" s="24">
        <v>19.733542920000026</v>
      </c>
      <c r="BR23" s="232">
        <v>26.409634740000048</v>
      </c>
      <c r="BS23" s="24">
        <v>22.960666080000113</v>
      </c>
      <c r="BT23" s="24">
        <v>27.101462459999997</v>
      </c>
      <c r="BU23" s="24">
        <v>22.089917559999996</v>
      </c>
      <c r="BV23" s="24">
        <v>29.050191490000053</v>
      </c>
      <c r="BW23" s="25">
        <v>27.680563720000023</v>
      </c>
      <c r="BX23" s="25">
        <v>27.837450420000057</v>
      </c>
      <c r="BY23" s="25">
        <v>26.132296030000024</v>
      </c>
      <c r="BZ23" s="24">
        <v>29.521008630000029</v>
      </c>
      <c r="CA23" s="24">
        <v>30.283375550000081</v>
      </c>
      <c r="CB23" s="24">
        <v>28.960850870000094</v>
      </c>
      <c r="CC23" s="24">
        <v>28.694921000000036</v>
      </c>
      <c r="CD23" s="24">
        <v>38.457406250000098</v>
      </c>
      <c r="CE23" s="24">
        <v>40.650859959999998</v>
      </c>
      <c r="CF23" s="24">
        <v>42.499655500000003</v>
      </c>
      <c r="CG23" s="24">
        <v>41.75140824999999</v>
      </c>
      <c r="CH23" s="24">
        <v>51.749951490000001</v>
      </c>
      <c r="CI23" s="24">
        <v>53.957020149999508</v>
      </c>
      <c r="CJ23" s="24">
        <v>50.056056649999981</v>
      </c>
      <c r="CK23" s="24">
        <v>65.037023719999979</v>
      </c>
      <c r="CL23" s="24">
        <v>77.461823500000008</v>
      </c>
      <c r="CM23" s="24">
        <v>67.975943100000023</v>
      </c>
      <c r="CN23" s="24">
        <v>62.918213480000013</v>
      </c>
      <c r="CO23" s="24">
        <v>67.881426940000011</v>
      </c>
      <c r="CP23" s="24">
        <v>54.222219150000001</v>
      </c>
      <c r="CQ23" s="24">
        <v>57.157544919999815</v>
      </c>
      <c r="CR23" s="25">
        <v>52.263926600000012</v>
      </c>
      <c r="CS23" s="25">
        <v>52.362079469999998</v>
      </c>
      <c r="CT23" s="25">
        <v>56.948011310000005</v>
      </c>
      <c r="CU23" s="69">
        <v>64.492221790000016</v>
      </c>
    </row>
    <row r="24" spans="1:102" x14ac:dyDescent="0.2">
      <c r="A24" s="23" t="s">
        <v>191</v>
      </c>
      <c r="B24" s="231"/>
      <c r="C24" s="19" t="s">
        <v>49</v>
      </c>
      <c r="D24" s="19" t="s">
        <v>49</v>
      </c>
      <c r="E24" s="19" t="s">
        <v>49</v>
      </c>
      <c r="F24" s="19" t="s">
        <v>49</v>
      </c>
      <c r="G24" s="19" t="s">
        <v>49</v>
      </c>
      <c r="H24" s="19" t="s">
        <v>49</v>
      </c>
      <c r="I24" s="19" t="s">
        <v>49</v>
      </c>
      <c r="J24" s="19" t="s">
        <v>49</v>
      </c>
      <c r="K24" s="19" t="s">
        <v>49</v>
      </c>
      <c r="L24" s="19" t="s">
        <v>49</v>
      </c>
      <c r="M24" s="19" t="s">
        <v>49</v>
      </c>
      <c r="N24" s="19" t="s">
        <v>49</v>
      </c>
      <c r="O24" s="19" t="s">
        <v>49</v>
      </c>
      <c r="P24" s="19" t="s">
        <v>49</v>
      </c>
      <c r="Q24" s="19" t="s">
        <v>49</v>
      </c>
      <c r="R24" s="19" t="s">
        <v>49</v>
      </c>
      <c r="S24" s="19" t="s">
        <v>49</v>
      </c>
      <c r="T24" s="19" t="s">
        <v>49</v>
      </c>
      <c r="U24" s="19" t="s">
        <v>49</v>
      </c>
      <c r="V24" s="19" t="s">
        <v>49</v>
      </c>
      <c r="W24" s="19" t="s">
        <v>49</v>
      </c>
      <c r="X24" s="19" t="s">
        <v>49</v>
      </c>
      <c r="Y24" s="19" t="s">
        <v>49</v>
      </c>
      <c r="Z24" s="19" t="s">
        <v>49</v>
      </c>
      <c r="AA24" s="19" t="s">
        <v>49</v>
      </c>
      <c r="AB24" s="19" t="s">
        <v>49</v>
      </c>
      <c r="AC24" s="19" t="s">
        <v>49</v>
      </c>
      <c r="AD24" s="19" t="s">
        <v>49</v>
      </c>
      <c r="AE24" s="19" t="s">
        <v>49</v>
      </c>
      <c r="AF24" s="19" t="s">
        <v>49</v>
      </c>
      <c r="AG24" s="19" t="s">
        <v>49</v>
      </c>
      <c r="AH24" s="19" t="s">
        <v>49</v>
      </c>
      <c r="AI24" s="19" t="s">
        <v>49</v>
      </c>
      <c r="AJ24" s="19" t="s">
        <v>49</v>
      </c>
      <c r="AK24" s="19" t="s">
        <v>49</v>
      </c>
      <c r="AL24" s="19" t="s">
        <v>49</v>
      </c>
      <c r="AM24" s="19" t="s">
        <v>49</v>
      </c>
      <c r="AN24" s="19" t="s">
        <v>49</v>
      </c>
      <c r="AO24" s="19" t="s">
        <v>49</v>
      </c>
      <c r="AP24" s="19" t="s">
        <v>49</v>
      </c>
      <c r="AQ24" s="19" t="s">
        <v>49</v>
      </c>
      <c r="AR24" s="19" t="s">
        <v>49</v>
      </c>
      <c r="AS24" s="19" t="s">
        <v>49</v>
      </c>
      <c r="AT24" s="19" t="s">
        <v>49</v>
      </c>
      <c r="AU24" s="19" t="s">
        <v>49</v>
      </c>
      <c r="AV24" s="19" t="s">
        <v>49</v>
      </c>
      <c r="AW24" s="19" t="s">
        <v>49</v>
      </c>
      <c r="AX24" s="19" t="s">
        <v>49</v>
      </c>
      <c r="AY24" s="19" t="s">
        <v>49</v>
      </c>
      <c r="AZ24" s="19" t="s">
        <v>49</v>
      </c>
      <c r="BA24" s="19" t="s">
        <v>49</v>
      </c>
      <c r="BB24" s="19" t="s">
        <v>49</v>
      </c>
      <c r="BC24" s="19" t="s">
        <v>49</v>
      </c>
      <c r="BD24" s="19" t="s">
        <v>49</v>
      </c>
      <c r="BE24" s="19" t="s">
        <v>49</v>
      </c>
      <c r="BF24" s="19" t="s">
        <v>49</v>
      </c>
      <c r="BG24" s="19" t="s">
        <v>49</v>
      </c>
      <c r="BH24" s="19" t="s">
        <v>49</v>
      </c>
      <c r="BI24" s="19" t="s">
        <v>49</v>
      </c>
      <c r="BJ24" s="19" t="s">
        <v>49</v>
      </c>
      <c r="BK24" s="24">
        <v>-15.785706359999999</v>
      </c>
      <c r="BL24" s="24">
        <v>-19.742791709999995</v>
      </c>
      <c r="BM24" s="24">
        <v>-15.745884740000001</v>
      </c>
      <c r="BN24" s="24">
        <v>-18.479202049999998</v>
      </c>
      <c r="BO24" s="24">
        <v>-19.156606260000004</v>
      </c>
      <c r="BP24" s="232">
        <v>-18.895907650000002</v>
      </c>
      <c r="BQ24" s="24">
        <v>-16.419344779999996</v>
      </c>
      <c r="BR24" s="232">
        <v>-24.208291469999992</v>
      </c>
      <c r="BS24" s="24">
        <v>-24.936545569999996</v>
      </c>
      <c r="BT24" s="24">
        <v>-24.614779459999998</v>
      </c>
      <c r="BU24" s="24">
        <v>-21.074422559999995</v>
      </c>
      <c r="BV24" s="24">
        <v>-27.230622879999995</v>
      </c>
      <c r="BW24" s="25">
        <v>-29.168797497323744</v>
      </c>
      <c r="BX24" s="25">
        <v>-27.581929378222632</v>
      </c>
      <c r="BY24" s="25">
        <v>-26.057710626424864</v>
      </c>
      <c r="BZ24" s="24">
        <v>-26.834882198028751</v>
      </c>
      <c r="CA24" s="24">
        <v>-31.803628312843646</v>
      </c>
      <c r="CB24" s="24">
        <v>-35.639629780346397</v>
      </c>
      <c r="CC24" s="24">
        <v>-35.054422369513439</v>
      </c>
      <c r="CD24" s="24">
        <v>-40.216650539999989</v>
      </c>
      <c r="CE24" s="24">
        <v>-50.575678973191927</v>
      </c>
      <c r="CF24" s="24">
        <v>-47.60199886319171</v>
      </c>
      <c r="CG24" s="24">
        <v>-40.648912663191759</v>
      </c>
      <c r="CH24" s="24">
        <v>-47.237032341063902</v>
      </c>
      <c r="CI24" s="24">
        <v>-40.501747899996481</v>
      </c>
      <c r="CJ24" s="24">
        <v>-31.196998410000003</v>
      </c>
      <c r="CK24" s="24">
        <v>-34.022209859999997</v>
      </c>
      <c r="CL24" s="24">
        <v>-50.151499079999972</v>
      </c>
      <c r="CM24" s="24">
        <v>-42.057543789999386</v>
      </c>
      <c r="CN24" s="24">
        <v>-33.653706220000004</v>
      </c>
      <c r="CO24" s="24">
        <v>-38.252390370000001</v>
      </c>
      <c r="CP24" s="24">
        <v>-38.697588719999999</v>
      </c>
      <c r="CQ24" s="24">
        <v>-45.844350919999052</v>
      </c>
      <c r="CR24" s="25">
        <v>-58.034607279999975</v>
      </c>
      <c r="CS24" s="25">
        <v>-60.347828959999987</v>
      </c>
      <c r="CT24" s="25">
        <v>-55.256447120000004</v>
      </c>
      <c r="CU24" s="69">
        <v>-53.048619209997916</v>
      </c>
    </row>
    <row r="25" spans="1:102" s="189" customFormat="1" ht="15" x14ac:dyDescent="0.2">
      <c r="A25" s="166" t="s">
        <v>203</v>
      </c>
      <c r="B25" s="177"/>
      <c r="C25" s="167">
        <v>-0.10000000000000142</v>
      </c>
      <c r="D25" s="167">
        <v>2.1000000000000014</v>
      </c>
      <c r="E25" s="167">
        <v>5.6999999999999984</v>
      </c>
      <c r="F25" s="167">
        <v>1.7000000000000028</v>
      </c>
      <c r="G25" s="167">
        <v>1.3000000000000007</v>
      </c>
      <c r="H25" s="167">
        <v>1.2000000000000011</v>
      </c>
      <c r="I25" s="167">
        <v>1.3999999999999986</v>
      </c>
      <c r="J25" s="167">
        <v>1.2000000000000028</v>
      </c>
      <c r="K25" s="167">
        <v>1.8000000000000007</v>
      </c>
      <c r="L25" s="167">
        <v>2.4000000000000021</v>
      </c>
      <c r="M25" s="167">
        <v>2.3999999999999986</v>
      </c>
      <c r="N25" s="167">
        <v>3.6999999999999957</v>
      </c>
      <c r="O25" s="167">
        <v>2.1000000000000014</v>
      </c>
      <c r="P25" s="167">
        <v>5.9000000000000021</v>
      </c>
      <c r="Q25" s="167">
        <v>3.3999999999999986</v>
      </c>
      <c r="R25" s="167">
        <v>6.0999999999999943</v>
      </c>
      <c r="S25" s="167">
        <v>3.6000000000000014</v>
      </c>
      <c r="T25" s="167">
        <v>4.8000000000000043</v>
      </c>
      <c r="U25" s="167">
        <v>3.6999999999999957</v>
      </c>
      <c r="V25" s="167">
        <v>1.1999999999999957</v>
      </c>
      <c r="W25" s="167">
        <v>5.1999999999999886</v>
      </c>
      <c r="X25" s="167">
        <v>9.2000000000000028</v>
      </c>
      <c r="Y25" s="167">
        <v>3.8999999999999986</v>
      </c>
      <c r="Z25" s="167">
        <v>11.999999999999993</v>
      </c>
      <c r="AA25" s="167">
        <v>10.400000000000006</v>
      </c>
      <c r="AB25" s="167">
        <v>20.900000000000006</v>
      </c>
      <c r="AC25" s="238">
        <v>9.4299999999999891</v>
      </c>
      <c r="AD25" s="238">
        <v>17.049999999999997</v>
      </c>
      <c r="AE25" s="238">
        <v>10.589999999999998</v>
      </c>
      <c r="AF25" s="238">
        <v>15.189999999999992</v>
      </c>
      <c r="AG25" s="238">
        <v>7.5999999999999943</v>
      </c>
      <c r="AH25" s="238">
        <v>11.2</v>
      </c>
      <c r="AI25" s="238">
        <v>8.6879999999999917</v>
      </c>
      <c r="AJ25" s="167">
        <v>12</v>
      </c>
      <c r="AK25" s="239">
        <v>12</v>
      </c>
      <c r="AL25" s="167">
        <v>16</v>
      </c>
      <c r="AM25" s="238">
        <v>15</v>
      </c>
      <c r="AN25" s="167">
        <v>17</v>
      </c>
      <c r="AO25" s="167">
        <v>11</v>
      </c>
      <c r="AP25" s="167">
        <v>20</v>
      </c>
      <c r="AQ25" s="167">
        <v>14.515415000000001</v>
      </c>
      <c r="AR25" s="167">
        <v>22.777985999999999</v>
      </c>
      <c r="AS25" s="239">
        <v>13.983899000000001</v>
      </c>
      <c r="AT25" s="238">
        <v>11.022131999999999</v>
      </c>
      <c r="AU25" s="238">
        <v>16.953130000000002</v>
      </c>
      <c r="AV25" s="167">
        <v>13.904185999999999</v>
      </c>
      <c r="AW25" s="167">
        <v>14.307376999999999</v>
      </c>
      <c r="AX25" s="167">
        <v>20.146729000000001</v>
      </c>
      <c r="AY25" s="167">
        <v>19.622002000000002</v>
      </c>
      <c r="AZ25" s="167">
        <v>18.184221999999998</v>
      </c>
      <c r="BA25" s="167">
        <v>16.143746</v>
      </c>
      <c r="BB25" s="167">
        <v>21.929559000000001</v>
      </c>
      <c r="BC25" s="167">
        <v>22.261908999999999</v>
      </c>
      <c r="BD25" s="167">
        <v>25.927990999999999</v>
      </c>
      <c r="BE25" s="167">
        <v>24.702036</v>
      </c>
      <c r="BF25" s="167">
        <v>38.014127000000002</v>
      </c>
      <c r="BG25" s="167">
        <v>29.823225999999998</v>
      </c>
      <c r="BH25" s="167">
        <v>44.671413000000001</v>
      </c>
      <c r="BI25" s="239">
        <v>29.970749999999999</v>
      </c>
      <c r="BJ25" s="167">
        <v>43.699605000000005</v>
      </c>
      <c r="BK25" s="167">
        <f>SUM(BK23:BK24)</f>
        <v>7.3523654400001313</v>
      </c>
      <c r="BL25" s="167">
        <f t="shared" ref="BL25:CI25" si="11">SUM(BL23:BL24)</f>
        <v>4.492658150000203</v>
      </c>
      <c r="BM25" s="167">
        <f t="shared" si="11"/>
        <v>6.6357146700000413</v>
      </c>
      <c r="BN25" s="167">
        <f t="shared" si="11"/>
        <v>5.4608684400000804</v>
      </c>
      <c r="BO25" s="167">
        <f t="shared" si="11"/>
        <v>3.8620789800001134</v>
      </c>
      <c r="BP25" s="167">
        <f t="shared" si="11"/>
        <v>5.139772880000141</v>
      </c>
      <c r="BQ25" s="167">
        <f t="shared" si="11"/>
        <v>3.3141981400000304</v>
      </c>
      <c r="BR25" s="167">
        <f t="shared" si="11"/>
        <v>2.2013432700000557</v>
      </c>
      <c r="BS25" s="167">
        <f t="shared" si="11"/>
        <v>-1.9758794899998833</v>
      </c>
      <c r="BT25" s="167">
        <f t="shared" si="11"/>
        <v>2.4866829999999993</v>
      </c>
      <c r="BU25" s="167">
        <f t="shared" si="11"/>
        <v>1.0154950000000014</v>
      </c>
      <c r="BV25" s="167">
        <f t="shared" si="11"/>
        <v>1.8195686100000579</v>
      </c>
      <c r="BW25" s="167">
        <f t="shared" si="11"/>
        <v>-1.4882337773237211</v>
      </c>
      <c r="BX25" s="167">
        <f t="shared" si="11"/>
        <v>0.25552104177742407</v>
      </c>
      <c r="BY25" s="167">
        <f t="shared" si="11"/>
        <v>7.4585403575159859E-2</v>
      </c>
      <c r="BZ25" s="167">
        <f t="shared" si="11"/>
        <v>2.6861264319712781</v>
      </c>
      <c r="CA25" s="167">
        <f t="shared" si="11"/>
        <v>-1.5202527628435654</v>
      </c>
      <c r="CB25" s="167">
        <f t="shared" si="11"/>
        <v>-6.6787789103463027</v>
      </c>
      <c r="CC25" s="167">
        <f t="shared" si="11"/>
        <v>-6.3595013695134028</v>
      </c>
      <c r="CD25" s="167">
        <f t="shared" si="11"/>
        <v>-1.7592442899998915</v>
      </c>
      <c r="CE25" s="167">
        <f t="shared" si="11"/>
        <v>-9.9248190131919287</v>
      </c>
      <c r="CF25" s="167">
        <f t="shared" si="11"/>
        <v>-5.1023433631917072</v>
      </c>
      <c r="CG25" s="167">
        <f t="shared" si="11"/>
        <v>1.1024955868082316</v>
      </c>
      <c r="CH25" s="167">
        <f t="shared" si="11"/>
        <v>4.5129191489360991</v>
      </c>
      <c r="CI25" s="167">
        <f t="shared" si="11"/>
        <v>13.455272250003027</v>
      </c>
      <c r="CJ25" s="167">
        <f t="shared" ref="CJ25:CQ25" si="12">SUM(CJ23:CJ24)</f>
        <v>18.859058239999978</v>
      </c>
      <c r="CK25" s="167">
        <f t="shared" si="12"/>
        <v>31.014813859999983</v>
      </c>
      <c r="CL25" s="167">
        <f t="shared" si="12"/>
        <v>27.310324420000036</v>
      </c>
      <c r="CM25" s="167">
        <f t="shared" si="12"/>
        <v>25.918399310000638</v>
      </c>
      <c r="CN25" s="167">
        <f t="shared" si="12"/>
        <v>29.264507260000009</v>
      </c>
      <c r="CO25" s="167">
        <f t="shared" si="12"/>
        <v>29.629036570000011</v>
      </c>
      <c r="CP25" s="167">
        <f t="shared" si="12"/>
        <v>15.524630430000002</v>
      </c>
      <c r="CQ25" s="167">
        <f t="shared" si="12"/>
        <v>11.313194000000763</v>
      </c>
      <c r="CR25" s="238">
        <f t="shared" ref="CR25:CS25" si="13">SUM(CR23:CR24)</f>
        <v>-5.7706806799999626</v>
      </c>
      <c r="CS25" s="238">
        <f t="shared" si="13"/>
        <v>-7.9857494899999892</v>
      </c>
      <c r="CT25" s="238">
        <f>SUM(CT23:CT24)</f>
        <v>1.6915641900000011</v>
      </c>
      <c r="CU25" s="338">
        <f>SUM(CU23:CU24)</f>
        <v>11.4436025800021</v>
      </c>
      <c r="CV25"/>
      <c r="CW25" s="237"/>
      <c r="CX25" s="2"/>
    </row>
    <row r="26" spans="1:102" x14ac:dyDescent="0.2">
      <c r="A26" s="23" t="s">
        <v>28</v>
      </c>
      <c r="B26" s="231"/>
      <c r="C26" s="24">
        <v>0.4</v>
      </c>
      <c r="D26" s="24">
        <v>0.3</v>
      </c>
      <c r="E26" s="24">
        <v>0.5</v>
      </c>
      <c r="F26" s="24">
        <v>0.9</v>
      </c>
      <c r="G26" s="24">
        <v>0.4</v>
      </c>
      <c r="H26" s="24">
        <v>0.6</v>
      </c>
      <c r="I26" s="24">
        <v>3.2</v>
      </c>
      <c r="J26" s="24">
        <v>0.5</v>
      </c>
      <c r="K26" s="24">
        <v>0</v>
      </c>
      <c r="L26" s="24">
        <v>0.1</v>
      </c>
      <c r="M26" s="24">
        <v>0</v>
      </c>
      <c r="N26" s="24">
        <v>0.6</v>
      </c>
      <c r="O26" s="24">
        <v>0.3</v>
      </c>
      <c r="P26" s="24">
        <v>0.1</v>
      </c>
      <c r="Q26" s="24">
        <v>0.1</v>
      </c>
      <c r="R26" s="24">
        <v>0.3</v>
      </c>
      <c r="S26" s="24">
        <v>-0.2</v>
      </c>
      <c r="T26" s="24">
        <v>0.4</v>
      </c>
      <c r="U26" s="24">
        <v>0</v>
      </c>
      <c r="V26" s="24">
        <v>0.1</v>
      </c>
      <c r="W26" s="24">
        <v>0</v>
      </c>
      <c r="X26" s="24">
        <v>0.1</v>
      </c>
      <c r="Y26" s="24">
        <v>0.1</v>
      </c>
      <c r="Z26" s="24">
        <v>0.5</v>
      </c>
      <c r="AA26" s="24">
        <v>0.2</v>
      </c>
      <c r="AB26" s="24">
        <v>0.4</v>
      </c>
      <c r="AC26" s="25">
        <v>0.11899999999999999</v>
      </c>
      <c r="AD26" s="25">
        <v>0</v>
      </c>
      <c r="AE26" s="25">
        <v>0.3</v>
      </c>
      <c r="AF26" s="25">
        <v>1</v>
      </c>
      <c r="AG26" s="25">
        <v>0</v>
      </c>
      <c r="AH26" s="25">
        <v>0</v>
      </c>
      <c r="AI26" s="25">
        <v>0.4</v>
      </c>
      <c r="AJ26" s="24">
        <v>1</v>
      </c>
      <c r="AK26" s="232">
        <v>0</v>
      </c>
      <c r="AL26" s="24">
        <v>0</v>
      </c>
      <c r="AM26" s="25">
        <v>0</v>
      </c>
      <c r="AN26" s="24">
        <v>0</v>
      </c>
      <c r="AO26" s="24">
        <v>0</v>
      </c>
      <c r="AP26" s="24">
        <v>-9</v>
      </c>
      <c r="AQ26" s="24">
        <v>0</v>
      </c>
      <c r="AR26" s="24">
        <v>0</v>
      </c>
      <c r="AS26" s="232">
        <v>0</v>
      </c>
      <c r="AT26" s="25">
        <v>1</v>
      </c>
      <c r="AU26" s="25">
        <v>0</v>
      </c>
      <c r="AV26" s="24">
        <v>0</v>
      </c>
      <c r="AW26" s="24">
        <v>-8</v>
      </c>
      <c r="AX26" s="24">
        <v>0</v>
      </c>
      <c r="AY26" s="24">
        <v>0</v>
      </c>
      <c r="AZ26" s="24">
        <v>1</v>
      </c>
      <c r="BA26" s="24">
        <v>0</v>
      </c>
      <c r="BB26" s="24">
        <v>0</v>
      </c>
      <c r="BC26" s="24">
        <v>9.5182589999999984E-2</v>
      </c>
      <c r="BD26" s="24">
        <v>-1.5294400000000322E-2</v>
      </c>
      <c r="BE26" s="24">
        <v>4.4647600000000238E-2</v>
      </c>
      <c r="BF26" s="24">
        <v>3.910991000000013E-2</v>
      </c>
      <c r="BG26" s="24">
        <v>0.875</v>
      </c>
      <c r="BH26" s="24">
        <v>0.48499999999999999</v>
      </c>
      <c r="BI26" s="232">
        <v>0.13200000000000001</v>
      </c>
      <c r="BJ26" s="24">
        <v>7.0999999999999994E-2</v>
      </c>
      <c r="BK26" s="24">
        <v>0.39060632999999995</v>
      </c>
      <c r="BL26" s="24">
        <v>2.26439697</v>
      </c>
      <c r="BM26" s="24">
        <v>0.2402822700000006</v>
      </c>
      <c r="BN26" s="24">
        <v>0.5873824399999994</v>
      </c>
      <c r="BO26" s="24">
        <v>7.2023999999999689E-4</v>
      </c>
      <c r="BP26" s="232">
        <v>0.33491106000000004</v>
      </c>
      <c r="BQ26" s="24">
        <v>1.7770622999999997</v>
      </c>
      <c r="BR26" s="232">
        <v>0.37103209999999942</v>
      </c>
      <c r="BS26" s="24">
        <v>-0.12284312</v>
      </c>
      <c r="BT26" s="24">
        <v>-6.4065340000000026E-2</v>
      </c>
      <c r="BU26" s="24">
        <v>0.18887835000000033</v>
      </c>
      <c r="BV26" s="24">
        <v>2.0255885799999982</v>
      </c>
      <c r="BW26" s="25">
        <v>-0.15213499000000003</v>
      </c>
      <c r="BX26" s="25">
        <v>-5.9662080000000062E-2</v>
      </c>
      <c r="BY26" s="25">
        <v>-0.2272481499999999</v>
      </c>
      <c r="BZ26" s="24">
        <v>0.91185598000000023</v>
      </c>
      <c r="CA26" s="24">
        <v>-0.29098545000000009</v>
      </c>
      <c r="CB26" s="24">
        <v>1.8308895299999997</v>
      </c>
      <c r="CC26" s="24">
        <v>1.0953586900000001</v>
      </c>
      <c r="CD26" s="24">
        <v>64.549752889999993</v>
      </c>
      <c r="CE26" s="24">
        <v>-0.64464334000000012</v>
      </c>
      <c r="CF26" s="24">
        <v>0.22365033999999984</v>
      </c>
      <c r="CG26" s="24">
        <v>-8.3669600000006034E-3</v>
      </c>
      <c r="CH26" s="24">
        <v>0.76861809999999897</v>
      </c>
      <c r="CI26" s="24">
        <v>-0.58470681000000024</v>
      </c>
      <c r="CJ26" s="24">
        <v>0.2159508</v>
      </c>
      <c r="CK26" s="24">
        <v>-2.0766859999999859E-2</v>
      </c>
      <c r="CL26" s="24">
        <v>-0.30935513000000031</v>
      </c>
      <c r="CM26" s="24">
        <v>-1.2795793600000001</v>
      </c>
      <c r="CN26" s="24">
        <v>-0.22746673000000009</v>
      </c>
      <c r="CO26" s="24">
        <v>0.2032952399999999</v>
      </c>
      <c r="CP26" s="24">
        <v>0.26150797000000081</v>
      </c>
      <c r="CQ26" s="24">
        <v>4.2580417799999992</v>
      </c>
      <c r="CR26" s="25">
        <v>-2.1928960099999988</v>
      </c>
      <c r="CS26" s="25">
        <v>-1.4273220900000021</v>
      </c>
      <c r="CT26" s="25">
        <v>3.4662005800000051</v>
      </c>
      <c r="CU26" s="69">
        <v>-12.497591370000009</v>
      </c>
    </row>
    <row r="27" spans="1:102" x14ac:dyDescent="0.2">
      <c r="A27" s="23" t="s">
        <v>42</v>
      </c>
      <c r="B27" s="231"/>
      <c r="C27" s="24">
        <v>3</v>
      </c>
      <c r="D27" s="24">
        <v>0.2</v>
      </c>
      <c r="E27" s="24">
        <v>0.1</v>
      </c>
      <c r="F27" s="24">
        <v>0.2</v>
      </c>
      <c r="G27" s="24">
        <v>0.3</v>
      </c>
      <c r="H27" s="24">
        <v>0.3</v>
      </c>
      <c r="I27" s="24">
        <v>0</v>
      </c>
      <c r="J27" s="24">
        <v>0.3</v>
      </c>
      <c r="K27" s="24">
        <v>0.1</v>
      </c>
      <c r="L27" s="24">
        <v>2.4</v>
      </c>
      <c r="M27" s="24">
        <v>0</v>
      </c>
      <c r="N27" s="24">
        <v>0</v>
      </c>
      <c r="O27" s="24">
        <v>0.1</v>
      </c>
      <c r="P27" s="24">
        <v>0.2</v>
      </c>
      <c r="Q27" s="24">
        <v>0</v>
      </c>
      <c r="R27" s="24">
        <v>1.1000000000000001</v>
      </c>
      <c r="S27" s="24">
        <v>0.2</v>
      </c>
      <c r="T27" s="24">
        <v>1.7</v>
      </c>
      <c r="U27" s="24">
        <v>0.1</v>
      </c>
      <c r="V27" s="24">
        <v>0.5</v>
      </c>
      <c r="W27" s="24">
        <v>0.2</v>
      </c>
      <c r="X27" s="24">
        <v>0.5</v>
      </c>
      <c r="Y27" s="24">
        <v>0.2</v>
      </c>
      <c r="Z27" s="24">
        <v>0.7</v>
      </c>
      <c r="AA27" s="24">
        <v>0</v>
      </c>
      <c r="AB27" s="24">
        <v>0</v>
      </c>
      <c r="AC27" s="25">
        <v>0</v>
      </c>
      <c r="AD27" s="25">
        <v>0</v>
      </c>
      <c r="AE27" s="25">
        <v>0</v>
      </c>
      <c r="AF27" s="25">
        <v>0</v>
      </c>
      <c r="AG27" s="25">
        <v>0</v>
      </c>
      <c r="AH27" s="25">
        <v>0</v>
      </c>
      <c r="AI27" s="25">
        <v>0</v>
      </c>
      <c r="AJ27" s="24">
        <v>0</v>
      </c>
      <c r="AK27" s="232">
        <v>0</v>
      </c>
      <c r="AL27" s="24">
        <v>0</v>
      </c>
      <c r="AM27" s="25">
        <v>0</v>
      </c>
      <c r="AN27" s="24">
        <v>0</v>
      </c>
      <c r="AO27" s="24">
        <v>0</v>
      </c>
      <c r="AP27" s="24">
        <v>0</v>
      </c>
      <c r="AQ27" s="24">
        <v>0</v>
      </c>
      <c r="AR27" s="24">
        <v>2</v>
      </c>
      <c r="AS27" s="232">
        <v>1</v>
      </c>
      <c r="AT27" s="25">
        <v>1</v>
      </c>
      <c r="AU27" s="25">
        <v>1</v>
      </c>
      <c r="AV27" s="24">
        <v>1</v>
      </c>
      <c r="AW27" s="24">
        <v>0</v>
      </c>
      <c r="AX27" s="24">
        <v>0</v>
      </c>
      <c r="AY27" s="24">
        <v>0</v>
      </c>
      <c r="AZ27" s="24">
        <v>0</v>
      </c>
      <c r="BA27" s="24">
        <v>0</v>
      </c>
      <c r="BB27" s="24">
        <v>0</v>
      </c>
      <c r="BC27" s="24">
        <v>0</v>
      </c>
      <c r="BD27" s="24">
        <v>0</v>
      </c>
      <c r="BE27" s="24">
        <v>1.9E-2</v>
      </c>
      <c r="BF27" s="24">
        <v>0</v>
      </c>
      <c r="BG27" s="24">
        <v>0</v>
      </c>
      <c r="BH27" s="24">
        <v>0</v>
      </c>
      <c r="BI27" s="232">
        <v>0</v>
      </c>
      <c r="BJ27" s="24">
        <v>0</v>
      </c>
      <c r="BK27" s="24">
        <v>0</v>
      </c>
      <c r="BL27" s="24">
        <v>0</v>
      </c>
      <c r="BM27" s="24">
        <v>0</v>
      </c>
      <c r="BN27" s="24">
        <v>0</v>
      </c>
      <c r="BO27" s="24">
        <v>0</v>
      </c>
      <c r="BP27" s="232">
        <v>1.195426E-2</v>
      </c>
      <c r="BQ27" s="24">
        <v>5.5372999999999999E-2</v>
      </c>
      <c r="BR27" s="232">
        <v>5.3212000000000002E-2</v>
      </c>
      <c r="BS27" s="24">
        <v>0</v>
      </c>
      <c r="BT27" s="24">
        <v>0</v>
      </c>
      <c r="BU27" s="24">
        <v>0</v>
      </c>
      <c r="BV27" s="24">
        <v>0.14042399999999999</v>
      </c>
      <c r="BW27" s="25">
        <v>5.5500000000000001E-2</v>
      </c>
      <c r="BX27" s="25">
        <v>0</v>
      </c>
      <c r="BY27" s="25">
        <v>6.4456999999999952E-3</v>
      </c>
      <c r="BZ27" s="24">
        <v>1.9640000000000057E-3</v>
      </c>
      <c r="CA27" s="24">
        <v>0</v>
      </c>
      <c r="CB27" s="24">
        <v>0</v>
      </c>
      <c r="CC27" s="24">
        <v>0</v>
      </c>
      <c r="CD27" s="24">
        <v>6.5542400000000001E-2</v>
      </c>
      <c r="CE27" s="24">
        <v>0</v>
      </c>
      <c r="CF27" s="24">
        <v>0</v>
      </c>
      <c r="CG27" s="24">
        <v>0</v>
      </c>
      <c r="CH27" s="24">
        <v>0</v>
      </c>
      <c r="CI27" s="24">
        <v>0</v>
      </c>
      <c r="CJ27" s="24">
        <v>8.2091999999999998E-2</v>
      </c>
      <c r="CK27" s="24">
        <v>0</v>
      </c>
      <c r="CL27" s="24">
        <v>3.5</v>
      </c>
      <c r="CM27" s="24">
        <v>4.9116E-2</v>
      </c>
      <c r="CN27" s="24">
        <v>0</v>
      </c>
      <c r="CO27" s="24">
        <v>0</v>
      </c>
      <c r="CP27" s="24">
        <v>0.195964</v>
      </c>
      <c r="CQ27" s="24">
        <v>0</v>
      </c>
      <c r="CR27" s="25">
        <v>0.30295499999999997</v>
      </c>
      <c r="CS27" s="25">
        <v>0</v>
      </c>
      <c r="CT27" s="25">
        <v>6.6353400000000002</v>
      </c>
      <c r="CU27" s="69">
        <v>0.19277900000000001</v>
      </c>
    </row>
    <row r="28" spans="1:102" s="188" customFormat="1" x14ac:dyDescent="0.2">
      <c r="A28" s="27" t="s">
        <v>150</v>
      </c>
      <c r="B28" s="233"/>
      <c r="C28" s="28">
        <f>SUM(C21:C27)</f>
        <v>3.2999999999999985</v>
      </c>
      <c r="D28" s="28">
        <f t="shared" ref="D28:BI28" si="14">SUM(D21:D27)</f>
        <v>2.6000000000000014</v>
      </c>
      <c r="E28" s="28">
        <f t="shared" si="14"/>
        <v>6.299999999999998</v>
      </c>
      <c r="F28" s="28">
        <f t="shared" si="14"/>
        <v>2.8000000000000029</v>
      </c>
      <c r="G28" s="28">
        <f t="shared" si="14"/>
        <v>2.0000000000000004</v>
      </c>
      <c r="H28" s="28">
        <f t="shared" si="14"/>
        <v>2.100000000000001</v>
      </c>
      <c r="I28" s="28">
        <f t="shared" si="14"/>
        <v>4.5999999999999988</v>
      </c>
      <c r="J28" s="28">
        <f t="shared" si="14"/>
        <v>2.0000000000000027</v>
      </c>
      <c r="K28" s="28">
        <f t="shared" si="14"/>
        <v>1.9000000000000008</v>
      </c>
      <c r="L28" s="28">
        <f t="shared" si="14"/>
        <v>4.9000000000000021</v>
      </c>
      <c r="M28" s="28">
        <f t="shared" si="14"/>
        <v>2.3999999999999986</v>
      </c>
      <c r="N28" s="28">
        <f t="shared" si="14"/>
        <v>4.2999999999999954</v>
      </c>
      <c r="O28" s="28">
        <f t="shared" si="14"/>
        <v>2.5000000000000013</v>
      </c>
      <c r="P28" s="28">
        <f t="shared" si="14"/>
        <v>6.200000000000002</v>
      </c>
      <c r="Q28" s="28">
        <f t="shared" si="14"/>
        <v>3.4999999999999987</v>
      </c>
      <c r="R28" s="28">
        <f t="shared" si="14"/>
        <v>7.4999999999999947</v>
      </c>
      <c r="S28" s="28">
        <f t="shared" si="14"/>
        <v>3.6000000000000014</v>
      </c>
      <c r="T28" s="28">
        <f t="shared" si="14"/>
        <v>6.9000000000000048</v>
      </c>
      <c r="U28" s="28">
        <f t="shared" si="14"/>
        <v>3.7999999999999958</v>
      </c>
      <c r="V28" s="28">
        <f t="shared" si="14"/>
        <v>1.7999999999999958</v>
      </c>
      <c r="W28" s="28">
        <f t="shared" si="14"/>
        <v>5.3999999999999888</v>
      </c>
      <c r="X28" s="28">
        <f t="shared" si="14"/>
        <v>9.8000000000000025</v>
      </c>
      <c r="Y28" s="28">
        <f t="shared" si="14"/>
        <v>4.1999999999999984</v>
      </c>
      <c r="Z28" s="28">
        <f t="shared" si="14"/>
        <v>13.199999999999992</v>
      </c>
      <c r="AA28" s="28">
        <f t="shared" si="14"/>
        <v>10.600000000000005</v>
      </c>
      <c r="AB28" s="28">
        <f t="shared" si="14"/>
        <v>21.300000000000004</v>
      </c>
      <c r="AC28" s="28">
        <f t="shared" si="14"/>
        <v>9.5489999999999888</v>
      </c>
      <c r="AD28" s="28">
        <f t="shared" si="14"/>
        <v>17.049999999999997</v>
      </c>
      <c r="AE28" s="28">
        <f t="shared" si="14"/>
        <v>10.889999999999999</v>
      </c>
      <c r="AF28" s="28">
        <f t="shared" si="14"/>
        <v>16.189999999999991</v>
      </c>
      <c r="AG28" s="28">
        <f t="shared" si="14"/>
        <v>7.5999999999999943</v>
      </c>
      <c r="AH28" s="28">
        <f t="shared" si="14"/>
        <v>11.2</v>
      </c>
      <c r="AI28" s="28">
        <f t="shared" si="14"/>
        <v>9.0879999999999921</v>
      </c>
      <c r="AJ28" s="28">
        <f t="shared" si="14"/>
        <v>13</v>
      </c>
      <c r="AK28" s="28">
        <f t="shared" si="14"/>
        <v>12</v>
      </c>
      <c r="AL28" s="28">
        <f t="shared" si="14"/>
        <v>16</v>
      </c>
      <c r="AM28" s="28">
        <f t="shared" si="14"/>
        <v>15</v>
      </c>
      <c r="AN28" s="28">
        <f t="shared" si="14"/>
        <v>17</v>
      </c>
      <c r="AO28" s="28">
        <f t="shared" si="14"/>
        <v>11</v>
      </c>
      <c r="AP28" s="28">
        <f t="shared" si="14"/>
        <v>11</v>
      </c>
      <c r="AQ28" s="28">
        <f t="shared" si="14"/>
        <v>14.515415000000001</v>
      </c>
      <c r="AR28" s="28">
        <f t="shared" si="14"/>
        <v>24.777985999999999</v>
      </c>
      <c r="AS28" s="28">
        <f t="shared" si="14"/>
        <v>14.983899000000001</v>
      </c>
      <c r="AT28" s="28">
        <f t="shared" si="14"/>
        <v>13.022131999999999</v>
      </c>
      <c r="AU28" s="28">
        <f t="shared" si="14"/>
        <v>17.953130000000002</v>
      </c>
      <c r="AV28" s="28">
        <f t="shared" si="14"/>
        <v>14.904185999999999</v>
      </c>
      <c r="AW28" s="28">
        <f t="shared" si="14"/>
        <v>6.3073769999999989</v>
      </c>
      <c r="AX28" s="28">
        <f t="shared" si="14"/>
        <v>20.146729000000001</v>
      </c>
      <c r="AY28" s="28">
        <f t="shared" si="14"/>
        <v>19.622002000000002</v>
      </c>
      <c r="AZ28" s="28">
        <f t="shared" si="14"/>
        <v>19.184221999999998</v>
      </c>
      <c r="BA28" s="28">
        <f t="shared" si="14"/>
        <v>16.143746</v>
      </c>
      <c r="BB28" s="28">
        <f t="shared" si="14"/>
        <v>21.929559000000001</v>
      </c>
      <c r="BC28" s="28">
        <f t="shared" si="14"/>
        <v>22.35709159</v>
      </c>
      <c r="BD28" s="28">
        <f t="shared" si="14"/>
        <v>25.912696599999997</v>
      </c>
      <c r="BE28" s="28">
        <f t="shared" si="14"/>
        <v>24.765683599999999</v>
      </c>
      <c r="BF28" s="28">
        <f t="shared" si="14"/>
        <v>38.053236910000003</v>
      </c>
      <c r="BG28" s="28">
        <f t="shared" si="14"/>
        <v>30.698225999999998</v>
      </c>
      <c r="BH28" s="28">
        <f t="shared" si="14"/>
        <v>45.156413000000001</v>
      </c>
      <c r="BI28" s="28">
        <f t="shared" si="14"/>
        <v>30.10275</v>
      </c>
      <c r="BJ28" s="28">
        <f>SUM(BJ21:BJ27)</f>
        <v>43.770605000000003</v>
      </c>
      <c r="BK28" s="28">
        <f>BK21+BK22+BK23+BK26+BK27+BK24</f>
        <v>23.762971770000128</v>
      </c>
      <c r="BL28" s="28">
        <f t="shared" ref="BL28:CQ28" si="15">BL21+BL22+BL23+BL26+BL27+BL24</f>
        <v>36.647055120000203</v>
      </c>
      <c r="BM28" s="28">
        <f t="shared" si="15"/>
        <v>21.285996940000047</v>
      </c>
      <c r="BN28" s="28">
        <f t="shared" si="15"/>
        <v>29.148250880000077</v>
      </c>
      <c r="BO28" s="28">
        <f t="shared" si="15"/>
        <v>24.212799220000115</v>
      </c>
      <c r="BP28" s="28">
        <f t="shared" si="15"/>
        <v>28.696638200000148</v>
      </c>
      <c r="BQ28" s="28">
        <f t="shared" si="15"/>
        <v>21.206633440000026</v>
      </c>
      <c r="BR28" s="28">
        <f t="shared" si="15"/>
        <v>33.165587370000061</v>
      </c>
      <c r="BS28" s="28">
        <f t="shared" si="15"/>
        <v>21.654491390000121</v>
      </c>
      <c r="BT28" s="28">
        <f t="shared" si="15"/>
        <v>25.654305220000008</v>
      </c>
      <c r="BU28" s="28">
        <f t="shared" si="15"/>
        <v>18.579699360000006</v>
      </c>
      <c r="BV28" s="28">
        <f t="shared" si="15"/>
        <v>29.705458190000055</v>
      </c>
      <c r="BW28" s="28">
        <f t="shared" si="15"/>
        <v>21.802704232676284</v>
      </c>
      <c r="BX28" s="28">
        <f t="shared" si="15"/>
        <v>25.347687641777426</v>
      </c>
      <c r="BY28" s="28">
        <f t="shared" si="15"/>
        <v>23.371861943575162</v>
      </c>
      <c r="BZ28" s="28">
        <f t="shared" si="15"/>
        <v>35.117584421971273</v>
      </c>
      <c r="CA28" s="28">
        <f t="shared" si="15"/>
        <v>41.174391777156444</v>
      </c>
      <c r="CB28" s="28">
        <f t="shared" si="15"/>
        <v>23.529832609653702</v>
      </c>
      <c r="CC28" s="28">
        <f t="shared" si="15"/>
        <v>22.155304310486592</v>
      </c>
      <c r="CD28" s="28">
        <f t="shared" si="15"/>
        <v>103.39065701000013</v>
      </c>
      <c r="CE28" s="28">
        <f t="shared" si="15"/>
        <v>44.176537666808059</v>
      </c>
      <c r="CF28" s="28">
        <f t="shared" si="15"/>
        <v>49.74945309680831</v>
      </c>
      <c r="CG28" s="28">
        <f t="shared" si="15"/>
        <v>66.577992616808245</v>
      </c>
      <c r="CH28" s="28">
        <f t="shared" si="15"/>
        <v>77.544389228936097</v>
      </c>
      <c r="CI28" s="28">
        <f t="shared" si="15"/>
        <v>65.847257430003026</v>
      </c>
      <c r="CJ28" s="28">
        <f t="shared" si="15"/>
        <v>58.353244049999972</v>
      </c>
      <c r="CK28" s="28">
        <f t="shared" si="15"/>
        <v>81.302322989999993</v>
      </c>
      <c r="CL28" s="28">
        <f t="shared" si="15"/>
        <v>80.950545280000028</v>
      </c>
      <c r="CM28" s="28">
        <f t="shared" si="15"/>
        <v>63.759482970000633</v>
      </c>
      <c r="CN28" s="28">
        <f t="shared" si="15"/>
        <v>58.940985500000011</v>
      </c>
      <c r="CO28" s="28">
        <f t="shared" si="15"/>
        <v>63.835535800000017</v>
      </c>
      <c r="CP28" s="28">
        <f t="shared" si="15"/>
        <v>71.662488400000001</v>
      </c>
      <c r="CQ28" s="28">
        <f t="shared" si="15"/>
        <v>60.16442179000078</v>
      </c>
      <c r="CR28" s="235">
        <f>CR21+CR22+CR23+CR26+CR27+CR24</f>
        <v>32.879526940000034</v>
      </c>
      <c r="CS28" s="235">
        <f>CS21+CS22+CS23+CS26+CS27+CS24</f>
        <v>45.546790430000016</v>
      </c>
      <c r="CT28" s="235">
        <f>CT21+CT22+CT23+CT26+CT27+CT24</f>
        <v>65.827523850000006</v>
      </c>
      <c r="CU28" s="336">
        <f>CU21+CU22+CU23+CU26+CU27+CU24</f>
        <v>81.212585230002105</v>
      </c>
      <c r="CV28"/>
      <c r="CW28" s="236"/>
      <c r="CX28" s="2"/>
    </row>
    <row r="29" spans="1:102" s="189" customFormat="1" x14ac:dyDescent="0.2">
      <c r="A29" s="176" t="s">
        <v>188</v>
      </c>
      <c r="B29" s="177"/>
      <c r="C29" s="159">
        <f t="shared" ref="C29:BN29" si="16">C17+C20+C28</f>
        <v>8.4999999999999982</v>
      </c>
      <c r="D29" s="159">
        <f t="shared" si="16"/>
        <v>8.1000000000000014</v>
      </c>
      <c r="E29" s="159">
        <f t="shared" si="16"/>
        <v>13.999999999999998</v>
      </c>
      <c r="F29" s="159">
        <f t="shared" si="16"/>
        <v>12.500000000000004</v>
      </c>
      <c r="G29" s="159">
        <f t="shared" si="16"/>
        <v>12.2</v>
      </c>
      <c r="H29" s="159">
        <f t="shared" si="16"/>
        <v>12.4</v>
      </c>
      <c r="I29" s="159">
        <f t="shared" si="16"/>
        <v>15.099999999999998</v>
      </c>
      <c r="J29" s="159">
        <f t="shared" si="16"/>
        <v>13.100000000000001</v>
      </c>
      <c r="K29" s="159">
        <f t="shared" si="16"/>
        <v>12.428000000000001</v>
      </c>
      <c r="L29" s="159">
        <f t="shared" si="16"/>
        <v>15.994000000000002</v>
      </c>
      <c r="M29" s="159">
        <f t="shared" si="16"/>
        <v>14.209999999999997</v>
      </c>
      <c r="N29" s="159">
        <f t="shared" si="16"/>
        <v>17.909999999999997</v>
      </c>
      <c r="O29" s="159">
        <f t="shared" si="16"/>
        <v>18.91</v>
      </c>
      <c r="P29" s="159">
        <f t="shared" si="16"/>
        <v>22.548000000000002</v>
      </c>
      <c r="Q29" s="159">
        <f t="shared" si="16"/>
        <v>19.628999999999998</v>
      </c>
      <c r="R29" s="159">
        <f t="shared" si="16"/>
        <v>25.628999999999998</v>
      </c>
      <c r="S29" s="159">
        <f t="shared" si="16"/>
        <v>28.5</v>
      </c>
      <c r="T29" s="159">
        <f t="shared" si="16"/>
        <v>31.278000000000006</v>
      </c>
      <c r="U29" s="159">
        <f t="shared" si="16"/>
        <v>32.387999999999998</v>
      </c>
      <c r="V29" s="159">
        <f t="shared" si="16"/>
        <v>37.488</v>
      </c>
      <c r="W29" s="159">
        <f t="shared" si="16"/>
        <v>53.249999999999993</v>
      </c>
      <c r="X29" s="159">
        <f t="shared" si="16"/>
        <v>58.2</v>
      </c>
      <c r="Y29" s="159">
        <f t="shared" si="16"/>
        <v>43.054999999999993</v>
      </c>
      <c r="Z29" s="159">
        <f t="shared" si="16"/>
        <v>58.638000000000005</v>
      </c>
      <c r="AA29" s="159">
        <f t="shared" si="16"/>
        <v>64.025000000000006</v>
      </c>
      <c r="AB29" s="159">
        <f t="shared" si="16"/>
        <v>81.724999999999994</v>
      </c>
      <c r="AC29" s="159">
        <f t="shared" si="16"/>
        <v>69.99495499999999</v>
      </c>
      <c r="AD29" s="159">
        <f t="shared" si="16"/>
        <v>83.113649999999993</v>
      </c>
      <c r="AE29" s="159">
        <f t="shared" si="16"/>
        <v>72.339998999999992</v>
      </c>
      <c r="AF29" s="159">
        <f t="shared" si="16"/>
        <v>79.782620000000009</v>
      </c>
      <c r="AG29" s="159">
        <f t="shared" si="16"/>
        <v>63.141807199999995</v>
      </c>
      <c r="AH29" s="159">
        <f t="shared" si="16"/>
        <v>61.512710799999994</v>
      </c>
      <c r="AI29" s="159">
        <f t="shared" si="16"/>
        <v>49.313406999999991</v>
      </c>
      <c r="AJ29" s="159">
        <f t="shared" si="16"/>
        <v>49.577145720000004</v>
      </c>
      <c r="AK29" s="159">
        <f t="shared" si="16"/>
        <v>49.566623120000003</v>
      </c>
      <c r="AL29" s="159">
        <f t="shared" si="16"/>
        <v>60.55687314</v>
      </c>
      <c r="AM29" s="159">
        <f t="shared" si="16"/>
        <v>65.5</v>
      </c>
      <c r="AN29" s="159">
        <f t="shared" si="16"/>
        <v>71.862225999999993</v>
      </c>
      <c r="AO29" s="159">
        <f t="shared" si="16"/>
        <v>66.250926499999991</v>
      </c>
      <c r="AP29" s="159">
        <f t="shared" si="16"/>
        <v>80.243274479999997</v>
      </c>
      <c r="AQ29" s="159">
        <f t="shared" si="16"/>
        <v>92.560999999999993</v>
      </c>
      <c r="AR29" s="159">
        <f t="shared" si="16"/>
        <v>104.81100000000001</v>
      </c>
      <c r="AS29" s="159">
        <f t="shared" si="16"/>
        <v>91.987989970000001</v>
      </c>
      <c r="AT29" s="159">
        <f t="shared" si="16"/>
        <v>87.328229010000001</v>
      </c>
      <c r="AU29" s="159">
        <f t="shared" si="16"/>
        <v>91.09</v>
      </c>
      <c r="AV29" s="159">
        <f t="shared" si="16"/>
        <v>85.55</v>
      </c>
      <c r="AW29" s="159">
        <f t="shared" si="16"/>
        <v>75.415123480000005</v>
      </c>
      <c r="AX29" s="159">
        <f t="shared" si="16"/>
        <v>82.59094146999999</v>
      </c>
      <c r="AY29" s="159">
        <f t="shared" si="16"/>
        <v>81.092999999999989</v>
      </c>
      <c r="AZ29" s="159">
        <f t="shared" si="16"/>
        <v>81.525000000000006</v>
      </c>
      <c r="BA29" s="159">
        <f t="shared" si="16"/>
        <v>81.813639999999992</v>
      </c>
      <c r="BB29" s="159">
        <f t="shared" si="16"/>
        <v>90.821927000000002</v>
      </c>
      <c r="BC29" s="159">
        <f t="shared" si="16"/>
        <v>90.795182589999996</v>
      </c>
      <c r="BD29" s="159">
        <f t="shared" si="16"/>
        <v>99.484705599999984</v>
      </c>
      <c r="BE29" s="159">
        <f t="shared" si="16"/>
        <v>95.033647600000009</v>
      </c>
      <c r="BF29" s="159">
        <f t="shared" si="16"/>
        <v>107.03910991000001</v>
      </c>
      <c r="BG29" s="159">
        <f t="shared" si="16"/>
        <v>106.50999999999999</v>
      </c>
      <c r="BH29" s="159">
        <f t="shared" si="16"/>
        <v>117.76600000000001</v>
      </c>
      <c r="BI29" s="159">
        <f t="shared" si="16"/>
        <v>88.817999999999998</v>
      </c>
      <c r="BJ29" s="159">
        <f t="shared" si="16"/>
        <v>104.71700000000001</v>
      </c>
      <c r="BK29" s="159">
        <f t="shared" si="16"/>
        <v>83.615819270000131</v>
      </c>
      <c r="BL29" s="159">
        <f t="shared" si="16"/>
        <v>93.512488320000188</v>
      </c>
      <c r="BM29" s="159">
        <f t="shared" si="16"/>
        <v>82.477975710000038</v>
      </c>
      <c r="BN29" s="159">
        <f t="shared" si="16"/>
        <v>99.038613780000105</v>
      </c>
      <c r="BO29" s="159">
        <f t="shared" ref="BO29:CR29" si="17">BO17+BO20+BO28</f>
        <v>97.41542404000009</v>
      </c>
      <c r="BP29" s="159">
        <f t="shared" si="17"/>
        <v>109.31236954000018</v>
      </c>
      <c r="BQ29" s="159">
        <f t="shared" si="17"/>
        <v>101.85720621999999</v>
      </c>
      <c r="BR29" s="159">
        <f t="shared" si="17"/>
        <v>117.7343129600001</v>
      </c>
      <c r="BS29" s="159">
        <f t="shared" si="17"/>
        <v>116.39386839000012</v>
      </c>
      <c r="BT29" s="159">
        <f t="shared" si="17"/>
        <v>122.44262222</v>
      </c>
      <c r="BU29" s="159">
        <f t="shared" si="17"/>
        <v>123.83720436</v>
      </c>
      <c r="BV29" s="159">
        <f t="shared" si="17"/>
        <v>124.39726717000026</v>
      </c>
      <c r="BW29" s="159">
        <f t="shared" si="17"/>
        <v>123.77766644267629</v>
      </c>
      <c r="BX29" s="159">
        <f t="shared" si="17"/>
        <v>149.94472478177732</v>
      </c>
      <c r="BY29" s="159">
        <f t="shared" si="17"/>
        <v>154.43177150357516</v>
      </c>
      <c r="BZ29" s="159">
        <f t="shared" si="17"/>
        <v>174.78208591197125</v>
      </c>
      <c r="CA29" s="159">
        <f t="shared" si="17"/>
        <v>201.14580398715643</v>
      </c>
      <c r="CB29" s="159">
        <f t="shared" si="17"/>
        <v>185.03100464965371</v>
      </c>
      <c r="CC29" s="159">
        <f t="shared" si="17"/>
        <v>204.72367098048659</v>
      </c>
      <c r="CD29" s="159">
        <f t="shared" si="17"/>
        <v>300.64214277000013</v>
      </c>
      <c r="CE29" s="159">
        <f t="shared" si="17"/>
        <v>270.80789315680818</v>
      </c>
      <c r="CF29" s="159">
        <f t="shared" si="17"/>
        <v>291.17268382680822</v>
      </c>
      <c r="CG29" s="159">
        <f t="shared" si="17"/>
        <v>322.74727623680826</v>
      </c>
      <c r="CH29" s="159">
        <f t="shared" si="17"/>
        <v>335.28008815893611</v>
      </c>
      <c r="CI29" s="159">
        <f t="shared" si="17"/>
        <v>306.00521314000423</v>
      </c>
      <c r="CJ29" s="159">
        <f t="shared" si="17"/>
        <v>316.14467474999969</v>
      </c>
      <c r="CK29" s="159">
        <f t="shared" si="17"/>
        <v>443.89619323999966</v>
      </c>
      <c r="CL29" s="159">
        <f t="shared" si="17"/>
        <v>586.50952091000011</v>
      </c>
      <c r="CM29" s="159">
        <f t="shared" si="17"/>
        <v>556.67680235000057</v>
      </c>
      <c r="CN29" s="159">
        <f t="shared" si="17"/>
        <v>596.23405354000158</v>
      </c>
      <c r="CO29" s="159">
        <f t="shared" si="17"/>
        <v>620.89446906999967</v>
      </c>
      <c r="CP29" s="159">
        <f t="shared" si="17"/>
        <v>652.18134479000014</v>
      </c>
      <c r="CQ29" s="159">
        <f t="shared" si="17"/>
        <v>635.59041170000035</v>
      </c>
      <c r="CR29" s="355">
        <f t="shared" si="17"/>
        <v>616.67150563000007</v>
      </c>
      <c r="CS29" s="355">
        <f>CS17+CS20+CS28</f>
        <v>627.23226980000049</v>
      </c>
      <c r="CT29" s="355">
        <f>CT17+CT20+CT28</f>
        <v>655.2308186800002</v>
      </c>
      <c r="CU29" s="337">
        <f>CU17+CU20+CU28</f>
        <v>654.99442577000241</v>
      </c>
      <c r="CV29"/>
      <c r="CW29" s="237"/>
      <c r="CX29" s="2"/>
    </row>
    <row r="30" spans="1:102" x14ac:dyDescent="0.2">
      <c r="A30" s="6"/>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4"/>
      <c r="AD30" s="15"/>
      <c r="AE30" s="15"/>
      <c r="AF30" s="15"/>
      <c r="AG30" s="15"/>
      <c r="AH30" s="15"/>
      <c r="AI30" s="15"/>
      <c r="AJ30" s="14"/>
      <c r="AK30" s="4"/>
      <c r="AL30" s="14"/>
      <c r="AM30" s="15"/>
      <c r="AN30" s="14"/>
      <c r="AO30" s="14"/>
      <c r="AP30" s="14"/>
      <c r="AQ30" s="14"/>
      <c r="AR30" s="14"/>
      <c r="AS30" s="4"/>
      <c r="AT30" s="15"/>
      <c r="AU30" s="4"/>
      <c r="AV30" s="14"/>
      <c r="AW30" s="14"/>
      <c r="AX30" s="14"/>
      <c r="AY30" s="14"/>
      <c r="AZ30" s="14"/>
      <c r="BA30" s="14"/>
      <c r="BB30" s="14"/>
      <c r="BC30" s="14"/>
      <c r="BD30" s="14"/>
      <c r="BE30" s="14"/>
      <c r="BF30" s="14"/>
      <c r="BG30" s="14"/>
      <c r="BH30" s="14"/>
      <c r="BI30" s="4"/>
      <c r="BJ30" s="14"/>
      <c r="BK30" s="14"/>
      <c r="BL30" s="14"/>
      <c r="BM30" s="14"/>
      <c r="BN30" s="14"/>
      <c r="BO30" s="14"/>
      <c r="BP30" s="4"/>
      <c r="BQ30" s="14"/>
      <c r="BR30" s="4"/>
      <c r="BS30" s="14"/>
      <c r="BT30" s="14"/>
      <c r="BU30" s="14"/>
      <c r="BV30" s="14"/>
      <c r="BW30" s="15"/>
      <c r="BX30" s="15"/>
      <c r="BY30" s="15"/>
      <c r="BZ30" s="14"/>
      <c r="CA30" s="14"/>
      <c r="CB30" s="14"/>
      <c r="CC30" s="14"/>
      <c r="CD30" s="14"/>
      <c r="CE30" s="14"/>
      <c r="CF30" s="14"/>
      <c r="CG30" s="14"/>
      <c r="CH30" s="14"/>
      <c r="CI30" s="14"/>
      <c r="CJ30" s="14"/>
      <c r="CK30" s="14"/>
      <c r="CL30" s="14"/>
      <c r="CM30" s="14"/>
      <c r="CN30" s="14"/>
      <c r="CO30" s="14"/>
      <c r="CP30" s="14"/>
      <c r="CQ30" s="14"/>
      <c r="CR30" s="15"/>
      <c r="CS30" s="15"/>
      <c r="CT30" s="15"/>
      <c r="CU30" s="361"/>
    </row>
    <row r="31" spans="1:102" s="188" customFormat="1" x14ac:dyDescent="0.2">
      <c r="A31" s="5" t="s">
        <v>90</v>
      </c>
      <c r="B31" s="240">
        <v>8.5</v>
      </c>
      <c r="C31" s="38">
        <f>C14+C29</f>
        <v>21.6</v>
      </c>
      <c r="D31" s="38">
        <f t="shared" ref="D31:BO31" si="18">D14+D29</f>
        <v>16.5</v>
      </c>
      <c r="E31" s="38">
        <f t="shared" si="18"/>
        <v>21.599999999999998</v>
      </c>
      <c r="F31" s="38">
        <f t="shared" si="18"/>
        <v>35.200000000000003</v>
      </c>
      <c r="G31" s="38">
        <f t="shared" si="18"/>
        <v>29.7</v>
      </c>
      <c r="H31" s="38">
        <f t="shared" si="18"/>
        <v>24.6</v>
      </c>
      <c r="I31" s="38">
        <f t="shared" si="18"/>
        <v>30.2</v>
      </c>
      <c r="J31" s="38">
        <f t="shared" si="18"/>
        <v>38.1</v>
      </c>
      <c r="K31" s="38">
        <f t="shared" si="18"/>
        <v>28.928000000000001</v>
      </c>
      <c r="L31" s="38">
        <f t="shared" si="18"/>
        <v>33.494</v>
      </c>
      <c r="M31" s="38">
        <f t="shared" si="18"/>
        <v>40.709999999999994</v>
      </c>
      <c r="N31" s="38">
        <f t="shared" si="18"/>
        <v>46.41</v>
      </c>
      <c r="O31" s="38">
        <f t="shared" si="18"/>
        <v>65.41</v>
      </c>
      <c r="P31" s="38">
        <f t="shared" si="18"/>
        <v>49.347999999999999</v>
      </c>
      <c r="Q31" s="38">
        <f t="shared" si="18"/>
        <v>40.329000000000001</v>
      </c>
      <c r="R31" s="38">
        <f t="shared" si="18"/>
        <v>54.728999999999999</v>
      </c>
      <c r="S31" s="38">
        <f t="shared" si="18"/>
        <v>60.8</v>
      </c>
      <c r="T31" s="38">
        <f t="shared" si="18"/>
        <v>65.878</v>
      </c>
      <c r="U31" s="38">
        <f t="shared" si="18"/>
        <v>73.888000000000005</v>
      </c>
      <c r="V31" s="38">
        <f t="shared" si="18"/>
        <v>83.288000000000011</v>
      </c>
      <c r="W31" s="38">
        <f t="shared" si="18"/>
        <v>123.44999999999999</v>
      </c>
      <c r="X31" s="38">
        <f t="shared" si="18"/>
        <v>125.2</v>
      </c>
      <c r="Y31" s="38">
        <f t="shared" si="18"/>
        <v>86.554999999999993</v>
      </c>
      <c r="Z31" s="38">
        <f t="shared" si="18"/>
        <v>117.63800000000001</v>
      </c>
      <c r="AA31" s="38">
        <f t="shared" si="18"/>
        <v>135.32499999999999</v>
      </c>
      <c r="AB31" s="38">
        <f t="shared" si="18"/>
        <v>138.52499999999998</v>
      </c>
      <c r="AC31" s="38">
        <f t="shared" si="18"/>
        <v>130.50995499999999</v>
      </c>
      <c r="AD31" s="38">
        <f t="shared" si="18"/>
        <v>150.11365000000001</v>
      </c>
      <c r="AE31" s="38">
        <f t="shared" si="18"/>
        <v>136.349999</v>
      </c>
      <c r="AF31" s="38">
        <f t="shared" si="18"/>
        <v>129.70262000000002</v>
      </c>
      <c r="AG31" s="38">
        <f t="shared" si="18"/>
        <v>116.54180719999999</v>
      </c>
      <c r="AH31" s="38">
        <f t="shared" si="18"/>
        <v>123.51271079999999</v>
      </c>
      <c r="AI31" s="38">
        <f t="shared" si="18"/>
        <v>107.682407</v>
      </c>
      <c r="AJ31" s="38">
        <f t="shared" si="18"/>
        <v>131.57714572</v>
      </c>
      <c r="AK31" s="38">
        <f t="shared" si="18"/>
        <v>126.56662312</v>
      </c>
      <c r="AL31" s="38">
        <f t="shared" si="18"/>
        <v>143.05687313999999</v>
      </c>
      <c r="AM31" s="38">
        <f t="shared" si="18"/>
        <v>152.5</v>
      </c>
      <c r="AN31" s="38">
        <f t="shared" si="18"/>
        <v>158.86222599999999</v>
      </c>
      <c r="AO31" s="38">
        <f t="shared" si="18"/>
        <v>136.25092649999999</v>
      </c>
      <c r="AP31" s="38">
        <f t="shared" si="18"/>
        <v>165.14327448</v>
      </c>
      <c r="AQ31" s="38">
        <f t="shared" si="18"/>
        <v>180.06099999999998</v>
      </c>
      <c r="AR31" s="38">
        <f t="shared" si="18"/>
        <v>168.81100000000001</v>
      </c>
      <c r="AS31" s="38">
        <f t="shared" si="18"/>
        <v>178.98798997</v>
      </c>
      <c r="AT31" s="38">
        <f t="shared" si="18"/>
        <v>154.32822901</v>
      </c>
      <c r="AU31" s="38">
        <f t="shared" si="18"/>
        <v>161.09</v>
      </c>
      <c r="AV31" s="38">
        <f t="shared" si="18"/>
        <v>138.55000000000001</v>
      </c>
      <c r="AW31" s="38">
        <f t="shared" si="18"/>
        <v>122.41512348000001</v>
      </c>
      <c r="AX31" s="38">
        <f t="shared" si="18"/>
        <v>128.59094146999999</v>
      </c>
      <c r="AY31" s="38">
        <f t="shared" si="18"/>
        <v>145.09299999999999</v>
      </c>
      <c r="AZ31" s="38">
        <f t="shared" si="18"/>
        <v>132.52500000000001</v>
      </c>
      <c r="BA31" s="38">
        <f t="shared" si="18"/>
        <v>144.81363999999999</v>
      </c>
      <c r="BB31" s="38">
        <f t="shared" si="18"/>
        <v>157.82192700000002</v>
      </c>
      <c r="BC31" s="38">
        <f t="shared" si="18"/>
        <v>168.19518259</v>
      </c>
      <c r="BD31" s="38">
        <f t="shared" si="18"/>
        <v>160.2847056</v>
      </c>
      <c r="BE31" s="38">
        <f t="shared" si="18"/>
        <v>161.63364760000002</v>
      </c>
      <c r="BF31" s="38">
        <f t="shared" si="18"/>
        <v>187.93910991000001</v>
      </c>
      <c r="BG31" s="38">
        <f t="shared" si="18"/>
        <v>219.51</v>
      </c>
      <c r="BH31" s="38">
        <f t="shared" si="18"/>
        <v>225.76600000000002</v>
      </c>
      <c r="BI31" s="38">
        <f t="shared" si="18"/>
        <v>201.31799999999998</v>
      </c>
      <c r="BJ31" s="38">
        <f t="shared" si="18"/>
        <v>250.45600000000002</v>
      </c>
      <c r="BK31" s="38">
        <f>BK14+BK29</f>
        <v>224.1058192700001</v>
      </c>
      <c r="BL31" s="38">
        <f t="shared" si="18"/>
        <v>220.63248832000016</v>
      </c>
      <c r="BM31" s="38">
        <f t="shared" si="18"/>
        <v>218.68797571000005</v>
      </c>
      <c r="BN31" s="38">
        <f t="shared" si="18"/>
        <v>245.1986137800001</v>
      </c>
      <c r="BO31" s="38">
        <f t="shared" si="18"/>
        <v>244.51542404000011</v>
      </c>
      <c r="BP31" s="38">
        <f t="shared" ref="BP31:CP31" si="19">BP14+BP29</f>
        <v>233.56236954000016</v>
      </c>
      <c r="BQ31" s="38">
        <f t="shared" si="19"/>
        <v>226.67720621999999</v>
      </c>
      <c r="BR31" s="38">
        <f t="shared" si="19"/>
        <v>270.79231296000012</v>
      </c>
      <c r="BS31" s="38">
        <f t="shared" si="19"/>
        <v>271.31260383000011</v>
      </c>
      <c r="BT31" s="38">
        <f t="shared" si="19"/>
        <v>243.68287205000001</v>
      </c>
      <c r="BU31" s="38">
        <f t="shared" si="19"/>
        <v>267.09018759999998</v>
      </c>
      <c r="BV31" s="38">
        <f t="shared" si="19"/>
        <v>266.91209251000026</v>
      </c>
      <c r="BW31" s="38">
        <f t="shared" si="19"/>
        <v>267.65228842267618</v>
      </c>
      <c r="BX31" s="38">
        <f t="shared" si="19"/>
        <v>284.09902372177737</v>
      </c>
      <c r="BY31" s="38">
        <f t="shared" si="19"/>
        <v>313.0291910135752</v>
      </c>
      <c r="BZ31" s="38">
        <f t="shared" si="19"/>
        <v>328.66902587197126</v>
      </c>
      <c r="CA31" s="38">
        <f t="shared" si="19"/>
        <v>541.65480874608488</v>
      </c>
      <c r="CB31" s="38">
        <f t="shared" si="19"/>
        <v>525.64375321304442</v>
      </c>
      <c r="CC31" s="38">
        <f t="shared" si="19"/>
        <v>575.40008033387858</v>
      </c>
      <c r="CD31" s="38">
        <f t="shared" si="19"/>
        <v>706.08142697428821</v>
      </c>
      <c r="CE31" s="38">
        <f t="shared" si="19"/>
        <v>956.74708005237221</v>
      </c>
      <c r="CF31" s="38">
        <f t="shared" si="19"/>
        <v>753.56708560350023</v>
      </c>
      <c r="CG31" s="38">
        <f t="shared" si="19"/>
        <v>766.93415037350132</v>
      </c>
      <c r="CH31" s="38">
        <f t="shared" si="19"/>
        <v>824.21465660998808</v>
      </c>
      <c r="CI31" s="38">
        <f t="shared" si="19"/>
        <v>767.72190233000492</v>
      </c>
      <c r="CJ31" s="38">
        <f t="shared" si="19"/>
        <v>617.76460472000485</v>
      </c>
      <c r="CK31" s="38">
        <f t="shared" si="19"/>
        <v>740.29271769999991</v>
      </c>
      <c r="CL31" s="38">
        <f t="shared" si="19"/>
        <v>846.99004958000012</v>
      </c>
      <c r="CM31" s="38">
        <f t="shared" si="19"/>
        <v>868.03253173000064</v>
      </c>
      <c r="CN31" s="38">
        <f t="shared" si="19"/>
        <v>832.98367947000156</v>
      </c>
      <c r="CO31" s="38">
        <f t="shared" si="19"/>
        <v>853.78072631138275</v>
      </c>
      <c r="CP31" s="38">
        <f t="shared" si="19"/>
        <v>882.46743986000024</v>
      </c>
      <c r="CQ31" s="38">
        <f>CQ14+CQ29</f>
        <v>950.78294762000053</v>
      </c>
      <c r="CR31" s="257">
        <f t="shared" ref="CR31:CT31" si="20">CR14+CR29</f>
        <v>928.55009775250528</v>
      </c>
      <c r="CS31" s="257">
        <f t="shared" si="20"/>
        <v>958.73562818000028</v>
      </c>
      <c r="CT31" s="257">
        <f t="shared" si="20"/>
        <v>1061.8151107900003</v>
      </c>
      <c r="CU31" s="303">
        <f t="shared" ref="CU31" si="21">CU14+CU29</f>
        <v>1151.6179179900025</v>
      </c>
      <c r="CV31" s="241"/>
      <c r="CW31" s="241"/>
      <c r="CX31" s="2"/>
    </row>
    <row r="32" spans="1:102" s="243" customFormat="1" x14ac:dyDescent="0.2">
      <c r="A32" s="242"/>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5"/>
      <c r="AD32" s="246"/>
      <c r="AE32" s="246"/>
      <c r="AF32" s="246"/>
      <c r="AG32" s="246"/>
      <c r="AH32" s="246"/>
      <c r="AI32" s="246"/>
      <c r="AJ32" s="244"/>
      <c r="AK32" s="245"/>
      <c r="AL32" s="244"/>
      <c r="AM32" s="246"/>
      <c r="AN32" s="244"/>
      <c r="AO32" s="244"/>
      <c r="AP32" s="244"/>
      <c r="AQ32" s="244"/>
      <c r="AR32" s="244"/>
      <c r="AS32" s="245"/>
      <c r="AT32" s="246"/>
      <c r="AU32" s="245"/>
      <c r="AV32" s="244"/>
      <c r="AW32" s="244"/>
      <c r="AX32" s="244"/>
      <c r="AY32" s="244"/>
      <c r="AZ32" s="244"/>
      <c r="BA32" s="244"/>
      <c r="BB32" s="244"/>
      <c r="BC32" s="247"/>
      <c r="BD32" s="247"/>
      <c r="BE32" s="247"/>
      <c r="BF32" s="247"/>
      <c r="BG32" s="247"/>
      <c r="BH32" s="247"/>
      <c r="BI32" s="247"/>
      <c r="BJ32" s="247"/>
      <c r="BK32" s="247"/>
      <c r="BL32" s="247"/>
      <c r="BM32" s="247"/>
      <c r="BN32" s="247"/>
      <c r="BO32" s="247"/>
      <c r="BP32" s="247"/>
      <c r="BQ32" s="247"/>
      <c r="BR32" s="247"/>
      <c r="BS32" s="247"/>
      <c r="BT32" s="247"/>
      <c r="BU32" s="247"/>
      <c r="BV32" s="247"/>
      <c r="BW32" s="247"/>
      <c r="BX32" s="247"/>
      <c r="BY32" s="247"/>
      <c r="BZ32" s="247"/>
      <c r="CA32" s="247"/>
      <c r="CB32" s="247"/>
      <c r="CC32" s="247"/>
      <c r="CD32" s="247"/>
      <c r="CE32" s="247"/>
      <c r="CF32" s="244"/>
      <c r="CG32" s="244"/>
      <c r="CH32" s="244"/>
      <c r="CI32" s="244"/>
      <c r="CJ32" s="244"/>
      <c r="CK32" s="244"/>
      <c r="CL32" s="244"/>
      <c r="CM32" s="244"/>
      <c r="CN32" s="244"/>
      <c r="CO32" s="244"/>
      <c r="CP32" s="244"/>
      <c r="CQ32" s="244"/>
      <c r="CR32" s="246"/>
      <c r="CS32" s="246"/>
      <c r="CT32" s="246"/>
      <c r="CU32" s="362"/>
    </row>
    <row r="33" spans="1:101" x14ac:dyDescent="0.2">
      <c r="A33" s="23" t="s">
        <v>113</v>
      </c>
      <c r="B33" s="250"/>
      <c r="C33" s="24">
        <v>-9.4553999999999991</v>
      </c>
      <c r="D33" s="24">
        <v>-8.218</v>
      </c>
      <c r="E33" s="24">
        <v>-8.7260000000000009</v>
      </c>
      <c r="F33" s="24">
        <v>-10.653</v>
      </c>
      <c r="G33" s="24">
        <v>-9.8759999999999994</v>
      </c>
      <c r="H33" s="24">
        <v>-9.1170000000000009</v>
      </c>
      <c r="I33" s="24">
        <v>-8.5009999999999994</v>
      </c>
      <c r="J33" s="24">
        <v>-10.151999999999999</v>
      </c>
      <c r="K33" s="24">
        <v>-10.052</v>
      </c>
      <c r="L33" s="24">
        <v>-9.4930000000000003</v>
      </c>
      <c r="M33" s="24">
        <v>-10.042</v>
      </c>
      <c r="N33" s="24">
        <v>-11.561</v>
      </c>
      <c r="O33" s="24">
        <v>-13.148</v>
      </c>
      <c r="P33" s="24">
        <v>-12.519</v>
      </c>
      <c r="Q33" s="24">
        <v>-10.627000000000001</v>
      </c>
      <c r="R33" s="24">
        <v>-11.394</v>
      </c>
      <c r="S33" s="24">
        <v>-13.106</v>
      </c>
      <c r="T33" s="24">
        <v>-15.670999999999999</v>
      </c>
      <c r="U33" s="24">
        <v>-14.82</v>
      </c>
      <c r="V33" s="24">
        <v>-15.315</v>
      </c>
      <c r="W33" s="24">
        <v>-23.504000000000001</v>
      </c>
      <c r="X33" s="24">
        <v>-24.283999999999999</v>
      </c>
      <c r="Y33" s="24">
        <v>-20.946000000000002</v>
      </c>
      <c r="Z33" s="24">
        <v>-27.225999999999999</v>
      </c>
      <c r="AA33" s="24">
        <v>-24.936345490000001</v>
      </c>
      <c r="AB33" s="24">
        <v>-31.730077229999996</v>
      </c>
      <c r="AC33" s="25">
        <v>-28.836217210000001</v>
      </c>
      <c r="AD33" s="25">
        <v>-33.936358859999999</v>
      </c>
      <c r="AE33" s="25">
        <v>-34.967885020000004</v>
      </c>
      <c r="AF33" s="25">
        <v>-39.156512759999998</v>
      </c>
      <c r="AG33" s="25">
        <v>-28.859226390000003</v>
      </c>
      <c r="AH33" s="25">
        <v>-34.501329899999995</v>
      </c>
      <c r="AI33" s="25">
        <v>-32.167816689999995</v>
      </c>
      <c r="AJ33" s="24">
        <v>-33.367163339999998</v>
      </c>
      <c r="AK33" s="232">
        <v>-26.951742070000002</v>
      </c>
      <c r="AL33" s="24">
        <v>-35.693997289999999</v>
      </c>
      <c r="AM33" s="25">
        <v>-37.78903369999999</v>
      </c>
      <c r="AN33" s="24">
        <v>-45.458932650000001</v>
      </c>
      <c r="AO33" s="24">
        <v>-36.273918429999995</v>
      </c>
      <c r="AP33" s="24">
        <v>-45.709419279999992</v>
      </c>
      <c r="AQ33" s="24">
        <v>-45.166457530000002</v>
      </c>
      <c r="AR33" s="24">
        <v>-50.787959459999996</v>
      </c>
      <c r="AS33" s="232">
        <v>-41.058650970000002</v>
      </c>
      <c r="AT33" s="25">
        <v>-51.767799359999998</v>
      </c>
      <c r="AU33" s="25">
        <v>-50.617339569999999</v>
      </c>
      <c r="AV33" s="24">
        <v>-55.452240249999988</v>
      </c>
      <c r="AW33" s="24">
        <v>-48.076709770000001</v>
      </c>
      <c r="AX33" s="24">
        <v>-52.757292109999995</v>
      </c>
      <c r="AY33" s="24">
        <v>-52.31</v>
      </c>
      <c r="AZ33" s="24">
        <v>-58.06</v>
      </c>
      <c r="BA33" s="24">
        <v>-43.44</v>
      </c>
      <c r="BB33" s="24">
        <v>-56.49</v>
      </c>
      <c r="BC33" s="24">
        <v>-57.85</v>
      </c>
      <c r="BD33" s="24">
        <v>-58.24</v>
      </c>
      <c r="BE33" s="24">
        <v>-50.74</v>
      </c>
      <c r="BF33" s="24">
        <v>-66.989999999999995</v>
      </c>
      <c r="BG33" s="24">
        <v>-64.319999999999993</v>
      </c>
      <c r="BH33" s="24">
        <v>-68.56</v>
      </c>
      <c r="BI33" s="249">
        <v>-58.29</v>
      </c>
      <c r="BJ33" s="170">
        <v>-75.010000000000005</v>
      </c>
      <c r="BK33" s="170">
        <v>-72.23</v>
      </c>
      <c r="BL33" s="170">
        <v>-73.62</v>
      </c>
      <c r="BM33" s="170">
        <v>-61.55</v>
      </c>
      <c r="BN33" s="24">
        <v>-83.05</v>
      </c>
      <c r="BO33" s="24">
        <v>-81.5</v>
      </c>
      <c r="BP33" s="232">
        <v>-86.71</v>
      </c>
      <c r="BQ33" s="24">
        <v>-73.52</v>
      </c>
      <c r="BR33" s="232">
        <v>-98.35</v>
      </c>
      <c r="BS33" s="24">
        <v>-90.43</v>
      </c>
      <c r="BT33" s="24">
        <v>-97.43</v>
      </c>
      <c r="BU33" s="24">
        <v>-82.713045910000005</v>
      </c>
      <c r="BV33" s="24">
        <v>-96.774449169999798</v>
      </c>
      <c r="BW33" s="25">
        <v>-102.69327952</v>
      </c>
      <c r="BX33" s="25">
        <v>-106.974156024796</v>
      </c>
      <c r="BY33" s="25">
        <v>-90.258016374796</v>
      </c>
      <c r="BZ33" s="24">
        <v>-114.530115964796</v>
      </c>
      <c r="CA33" s="24">
        <v>-111.201153415612</v>
      </c>
      <c r="CB33" s="24">
        <v>-120.151849935299</v>
      </c>
      <c r="CC33" s="24">
        <v>-102.78370459461037</v>
      </c>
      <c r="CD33" s="24">
        <v>-134.59832333461031</v>
      </c>
      <c r="CE33" s="24">
        <v>-136.68990085461039</v>
      </c>
      <c r="CF33" s="24">
        <v>-144.84547076086977</v>
      </c>
      <c r="CG33" s="24">
        <v>-124.59940354999999</v>
      </c>
      <c r="CH33" s="24">
        <v>-159.37314322999998</v>
      </c>
      <c r="CI33" s="24">
        <v>-159.40548350000012</v>
      </c>
      <c r="CJ33" s="24">
        <v>-169.65859503000001</v>
      </c>
      <c r="CK33" s="24">
        <v>-140.85876241</v>
      </c>
      <c r="CL33" s="24">
        <v>-166.2786981400001</v>
      </c>
      <c r="CM33" s="24">
        <v>-177.70549858000001</v>
      </c>
      <c r="CN33" s="24">
        <v>-183.1287878</v>
      </c>
      <c r="CO33" s="24">
        <v>-154.43655462000009</v>
      </c>
      <c r="CP33" s="24">
        <v>-188.73876162000002</v>
      </c>
      <c r="CQ33" s="24">
        <v>-191.41831690999999</v>
      </c>
      <c r="CR33" s="25">
        <v>-210.46024333000011</v>
      </c>
      <c r="CS33" s="25">
        <v>-179.0432788</v>
      </c>
      <c r="CT33" s="25">
        <v>-206.9636631299999</v>
      </c>
      <c r="CU33" s="69">
        <v>-198.18385507999997</v>
      </c>
      <c r="CW33" s="370"/>
    </row>
    <row r="34" spans="1:101" x14ac:dyDescent="0.2">
      <c r="A34" s="18" t="s">
        <v>114</v>
      </c>
      <c r="B34" s="248"/>
      <c r="C34" s="19">
        <v>-1.2054</v>
      </c>
      <c r="D34" s="19">
        <v>-0.44500000000000001</v>
      </c>
      <c r="E34" s="19">
        <v>-0.57099999999999995</v>
      </c>
      <c r="F34" s="19">
        <v>-0.77</v>
      </c>
      <c r="G34" s="19">
        <v>-1.6619999999999999</v>
      </c>
      <c r="H34" s="19">
        <v>-1.3460000000000001</v>
      </c>
      <c r="I34" s="19">
        <v>-0.78600000000000003</v>
      </c>
      <c r="J34" s="19">
        <v>-1.448</v>
      </c>
      <c r="K34" s="19">
        <v>-0.68100000000000005</v>
      </c>
      <c r="L34" s="19">
        <v>-1.234</v>
      </c>
      <c r="M34" s="19">
        <v>-1.1830000000000001</v>
      </c>
      <c r="N34" s="19">
        <v>-2.407</v>
      </c>
      <c r="O34" s="19">
        <v>-1.52</v>
      </c>
      <c r="P34" s="19">
        <v>-1.345</v>
      </c>
      <c r="Q34" s="19">
        <v>-1.2749999999999999</v>
      </c>
      <c r="R34" s="19">
        <v>-5.9370000000000003</v>
      </c>
      <c r="S34" s="19">
        <v>-4.6630000000000003</v>
      </c>
      <c r="T34" s="19">
        <v>-3.984</v>
      </c>
      <c r="U34" s="19">
        <v>-2.1349999999999998</v>
      </c>
      <c r="V34" s="19">
        <v>-8.6379999999999999</v>
      </c>
      <c r="W34" s="19">
        <v>-6.5579999999999998</v>
      </c>
      <c r="X34" s="19">
        <v>-19.253</v>
      </c>
      <c r="Y34" s="19">
        <v>-3.9009999999999998</v>
      </c>
      <c r="Z34" s="19">
        <v>-13.025</v>
      </c>
      <c r="AA34" s="19">
        <v>-13.959121</v>
      </c>
      <c r="AB34" s="19">
        <v>-12.994894209999998</v>
      </c>
      <c r="AC34" s="20">
        <v>-8.8348889509999999</v>
      </c>
      <c r="AD34" s="20">
        <v>-13.610128000000001</v>
      </c>
      <c r="AE34" s="20">
        <v>-8.715088660000001</v>
      </c>
      <c r="AF34" s="20">
        <v>-8.5182092300000001</v>
      </c>
      <c r="AG34" s="20">
        <v>-4.2506760299999993</v>
      </c>
      <c r="AH34" s="20">
        <v>-9.7100998600000015</v>
      </c>
      <c r="AI34" s="20">
        <v>-3.7660376000000002</v>
      </c>
      <c r="AJ34" s="19">
        <v>-5.0135777400000006</v>
      </c>
      <c r="AK34" s="21">
        <v>-3.4405123899999999</v>
      </c>
      <c r="AL34" s="19">
        <v>-10.025521029999998</v>
      </c>
      <c r="AM34" s="20">
        <v>-4.5175557900000003</v>
      </c>
      <c r="AN34" s="19">
        <v>-6.1358294000000004</v>
      </c>
      <c r="AO34" s="19">
        <v>-3.1684481500000001</v>
      </c>
      <c r="AP34" s="19">
        <v>-9.5221199300000006</v>
      </c>
      <c r="AQ34" s="19">
        <v>-5.5154744299999994</v>
      </c>
      <c r="AR34" s="19">
        <v>-5.4550141199999995</v>
      </c>
      <c r="AS34" s="21">
        <v>-4.8543198400000005</v>
      </c>
      <c r="AT34" s="20">
        <v>-7.3775972699999999</v>
      </c>
      <c r="AU34" s="20">
        <v>-8.33672374</v>
      </c>
      <c r="AV34" s="19">
        <v>-4.2277786200000005</v>
      </c>
      <c r="AW34" s="19">
        <v>-2.4781237599999999</v>
      </c>
      <c r="AX34" s="19">
        <v>-5.9352575099999996</v>
      </c>
      <c r="AY34" s="19">
        <v>-4.08</v>
      </c>
      <c r="AZ34" s="19">
        <v>-4.16</v>
      </c>
      <c r="BA34" s="19">
        <v>-0.05</v>
      </c>
      <c r="BB34" s="19">
        <v>-6.72</v>
      </c>
      <c r="BC34" s="19">
        <v>-3.59</v>
      </c>
      <c r="BD34" s="19">
        <v>-4.91</v>
      </c>
      <c r="BE34" s="19">
        <v>-3.65</v>
      </c>
      <c r="BF34" s="19">
        <v>-7.42</v>
      </c>
      <c r="BG34" s="19">
        <v>-6.88</v>
      </c>
      <c r="BH34" s="19">
        <v>-3.71</v>
      </c>
      <c r="BI34" s="249">
        <v>-3.81</v>
      </c>
      <c r="BJ34" s="170">
        <v>-3.85</v>
      </c>
      <c r="BK34" s="170">
        <v>-4.8899999999999997</v>
      </c>
      <c r="BL34" s="170">
        <v>-3.99</v>
      </c>
      <c r="BM34" s="170">
        <v>-3.57</v>
      </c>
      <c r="BN34" s="24">
        <v>-9.2100000000000009</v>
      </c>
      <c r="BO34" s="24">
        <v>-4.4400000000000004</v>
      </c>
      <c r="BP34" s="232">
        <v>-2.35</v>
      </c>
      <c r="BQ34" s="24">
        <v>-3.64</v>
      </c>
      <c r="BR34" s="232">
        <v>-7.88</v>
      </c>
      <c r="BS34" s="24">
        <v>-4.9000000000000004</v>
      </c>
      <c r="BT34" s="24">
        <v>-3.22</v>
      </c>
      <c r="BU34" s="24">
        <v>-4.9390719500000007</v>
      </c>
      <c r="BV34" s="24">
        <v>-3.7968907399999998</v>
      </c>
      <c r="BW34" s="25">
        <v>-8.0003054800000015</v>
      </c>
      <c r="BX34" s="25">
        <v>-3.4519545900000002</v>
      </c>
      <c r="BY34" s="25">
        <v>-4.4543840000000001</v>
      </c>
      <c r="BZ34" s="24">
        <v>-2.6801876299999998</v>
      </c>
      <c r="CA34" s="24">
        <v>-7.9143789500000006</v>
      </c>
      <c r="CB34" s="24">
        <v>-2.2989963399999995</v>
      </c>
      <c r="CC34" s="24">
        <v>-6.7755518700000001</v>
      </c>
      <c r="CD34" s="24">
        <v>-4.8258804</v>
      </c>
      <c r="CE34" s="24">
        <v>-9.3247276600000006</v>
      </c>
      <c r="CF34" s="24">
        <v>-2.9984016918500802</v>
      </c>
      <c r="CG34" s="24">
        <v>-4.6520658327751194</v>
      </c>
      <c r="CH34" s="24">
        <v>-7.4316076627751189</v>
      </c>
      <c r="CI34" s="24">
        <v>-8.7619312427751197</v>
      </c>
      <c r="CJ34" s="24">
        <v>-4.6677253398245409</v>
      </c>
      <c r="CK34" s="24">
        <v>-7.7031923100000004</v>
      </c>
      <c r="CL34" s="24">
        <v>-6.9217887699999991</v>
      </c>
      <c r="CM34" s="24">
        <v>-10.656092839999999</v>
      </c>
      <c r="CN34" s="24">
        <v>-2.3320366899999998</v>
      </c>
      <c r="CO34" s="24">
        <v>-9.4693817199999994</v>
      </c>
      <c r="CP34" s="24">
        <v>-5.8146188199999997</v>
      </c>
      <c r="CQ34" s="24">
        <v>-9.5611993399999999</v>
      </c>
      <c r="CR34" s="25">
        <v>-3.82668498</v>
      </c>
      <c r="CS34" s="25">
        <v>-9.3035162299999996</v>
      </c>
      <c r="CT34" s="25">
        <v>-6.879567279999999</v>
      </c>
      <c r="CU34" s="69">
        <v>-11.932661980000001</v>
      </c>
      <c r="CW34" s="370"/>
    </row>
    <row r="35" spans="1:101" x14ac:dyDescent="0.2">
      <c r="A35" s="23" t="s">
        <v>250</v>
      </c>
      <c r="B35" s="250"/>
      <c r="C35" s="24">
        <v>-1.2890999999999999</v>
      </c>
      <c r="D35" s="24">
        <v>-1.3089999999999999</v>
      </c>
      <c r="E35" s="24">
        <v>-2.2269999999999999</v>
      </c>
      <c r="F35" s="24">
        <v>-2.802</v>
      </c>
      <c r="G35" s="24">
        <v>-2.7850000000000001</v>
      </c>
      <c r="H35" s="24">
        <v>-2.7360000000000002</v>
      </c>
      <c r="I35" s="24">
        <v>-2.7549999999999999</v>
      </c>
      <c r="J35" s="24">
        <v>-2.7130000000000001</v>
      </c>
      <c r="K35" s="24">
        <v>-1.968</v>
      </c>
      <c r="L35" s="24">
        <v>-1.393</v>
      </c>
      <c r="M35" s="24">
        <v>-1.222</v>
      </c>
      <c r="N35" s="24">
        <v>-1.1819999999999999</v>
      </c>
      <c r="O35" s="24">
        <v>-0.88100000000000001</v>
      </c>
      <c r="P35" s="24">
        <v>-0.92500000000000004</v>
      </c>
      <c r="Q35" s="24">
        <v>-1.2210000000000001</v>
      </c>
      <c r="R35" s="24">
        <v>-1.385</v>
      </c>
      <c r="S35" s="24">
        <v>-1.4670000000000001</v>
      </c>
      <c r="T35" s="24">
        <v>-1.538</v>
      </c>
      <c r="U35" s="24">
        <v>-1.573</v>
      </c>
      <c r="V35" s="24">
        <v>-1.73</v>
      </c>
      <c r="W35" s="24">
        <v>-1.8280000000000001</v>
      </c>
      <c r="X35" s="24">
        <v>-2.0640000000000001</v>
      </c>
      <c r="Y35" s="24">
        <v>-2.1309999999999998</v>
      </c>
      <c r="Z35" s="24">
        <v>-2.1469999999999998</v>
      </c>
      <c r="AA35" s="24">
        <v>-2.2377362999999999</v>
      </c>
      <c r="AB35" s="24">
        <v>-2.4655612899999997</v>
      </c>
      <c r="AC35" s="25">
        <v>-2.5977095000000001</v>
      </c>
      <c r="AD35" s="25">
        <v>-2.4160367100000002</v>
      </c>
      <c r="AE35" s="25">
        <v>-2.9302529999999996</v>
      </c>
      <c r="AF35" s="25">
        <v>-3.2562529999999996</v>
      </c>
      <c r="AG35" s="25">
        <v>-3.2027529999999995</v>
      </c>
      <c r="AH35" s="25">
        <v>-2.9482544035</v>
      </c>
      <c r="AI35" s="25">
        <v>-2.3620192458330003</v>
      </c>
      <c r="AJ35" s="24">
        <v>-2.1827620525000002</v>
      </c>
      <c r="AK35" s="232">
        <v>-1.9466840599999999</v>
      </c>
      <c r="AL35" s="24">
        <v>-1.6257522499999999</v>
      </c>
      <c r="AM35" s="25">
        <v>-2.5344484499999997</v>
      </c>
      <c r="AN35" s="24">
        <v>-2.6600297300000002</v>
      </c>
      <c r="AO35" s="24">
        <v>-2.951571659107</v>
      </c>
      <c r="AP35" s="24">
        <v>-3.01854741</v>
      </c>
      <c r="AQ35" s="24">
        <v>-2.1504830400000001</v>
      </c>
      <c r="AR35" s="24">
        <v>-2.5023757500000001</v>
      </c>
      <c r="AS35" s="232">
        <v>-3.3376217000000001</v>
      </c>
      <c r="AT35" s="25">
        <v>-3.3182782500000001</v>
      </c>
      <c r="AU35" s="25">
        <v>-3.3078340699999997</v>
      </c>
      <c r="AV35" s="24">
        <v>-3.24950136</v>
      </c>
      <c r="AW35" s="24">
        <v>-3.2588243800000001</v>
      </c>
      <c r="AX35" s="24">
        <v>-3.2268160699999999</v>
      </c>
      <c r="AY35" s="24">
        <v>-3.02</v>
      </c>
      <c r="AZ35" s="24">
        <v>-2.63</v>
      </c>
      <c r="BA35" s="24">
        <v>-2.2999999999999998</v>
      </c>
      <c r="BB35" s="24">
        <v>-2.16</v>
      </c>
      <c r="BC35" s="24">
        <v>-2.09</v>
      </c>
      <c r="BD35" s="24">
        <v>-1.82</v>
      </c>
      <c r="BE35" s="24">
        <v>-1.91</v>
      </c>
      <c r="BF35" s="24">
        <v>-1.64</v>
      </c>
      <c r="BG35" s="24">
        <v>-1.93</v>
      </c>
      <c r="BH35" s="24">
        <v>-2.0299999999999998</v>
      </c>
      <c r="BI35" s="249">
        <v>-2.08</v>
      </c>
      <c r="BJ35" s="170">
        <v>-2.1800000000000002</v>
      </c>
      <c r="BK35" s="170">
        <v>-2.3199999999999998</v>
      </c>
      <c r="BL35" s="170">
        <v>-1.97</v>
      </c>
      <c r="BM35" s="170">
        <v>-1.82</v>
      </c>
      <c r="BN35" s="24">
        <v>-1.95</v>
      </c>
      <c r="BO35" s="24">
        <v>-1.97</v>
      </c>
      <c r="BP35" s="232">
        <v>-2.04</v>
      </c>
      <c r="BQ35" s="24">
        <v>-5.12</v>
      </c>
      <c r="BR35" s="232">
        <v>-2.98</v>
      </c>
      <c r="BS35" s="24">
        <v>-4.71</v>
      </c>
      <c r="BT35" s="24">
        <v>-4.84</v>
      </c>
      <c r="BU35" s="24">
        <v>-4.9312829600000168</v>
      </c>
      <c r="BV35" s="24">
        <v>-5.1745254200000099</v>
      </c>
      <c r="BW35" s="25">
        <v>-13.607147269999999</v>
      </c>
      <c r="BX35" s="25">
        <v>-13.67679959</v>
      </c>
      <c r="BY35" s="25">
        <v>-13.597490029999982</v>
      </c>
      <c r="BZ35" s="24">
        <v>-22.243801259999898</v>
      </c>
      <c r="CA35" s="24">
        <v>-14.416619379999998</v>
      </c>
      <c r="CB35" s="24">
        <v>-16.65098084000001</v>
      </c>
      <c r="CC35" s="24">
        <v>-19.10120796</v>
      </c>
      <c r="CD35" s="24">
        <v>-34.020662540000011</v>
      </c>
      <c r="CE35" s="24">
        <v>-16.981514320000027</v>
      </c>
      <c r="CF35" s="24">
        <v>-17.295003320000028</v>
      </c>
      <c r="CG35" s="24">
        <v>-17.710889219999991</v>
      </c>
      <c r="CH35" s="24">
        <v>-17.864926560000292</v>
      </c>
      <c r="CI35" s="24">
        <v>-17.58005971000004</v>
      </c>
      <c r="CJ35" s="24">
        <v>-20.70070782000008</v>
      </c>
      <c r="CK35" s="24">
        <v>-21.35757962000006</v>
      </c>
      <c r="CL35" s="24">
        <v>-21.13096375000007</v>
      </c>
      <c r="CM35" s="24">
        <v>-21.890152060000041</v>
      </c>
      <c r="CN35" s="24">
        <v>-22.044002229999929</v>
      </c>
      <c r="CO35" s="24">
        <v>-21.854449890000009</v>
      </c>
      <c r="CP35" s="24">
        <v>-22.59851288000003</v>
      </c>
      <c r="CQ35" s="24">
        <v>-22.1253232</v>
      </c>
      <c r="CR35" s="25">
        <v>-22.9799008399999</v>
      </c>
      <c r="CS35" s="25">
        <v>-23.60088476</v>
      </c>
      <c r="CT35" s="25">
        <v>-23.71562943999988</v>
      </c>
      <c r="CU35" s="69">
        <v>-23.627997499999829</v>
      </c>
      <c r="CW35" s="370"/>
    </row>
    <row r="36" spans="1:101" x14ac:dyDescent="0.2">
      <c r="A36" s="44" t="s">
        <v>115</v>
      </c>
      <c r="B36" s="251"/>
      <c r="C36" s="35">
        <v>-10.619399999999999</v>
      </c>
      <c r="D36" s="35">
        <v>-8.6910000000000007</v>
      </c>
      <c r="E36" s="35">
        <v>-9.0950000000000006</v>
      </c>
      <c r="F36" s="35">
        <v>-9.4309999999999992</v>
      </c>
      <c r="G36" s="35">
        <v>-12.93</v>
      </c>
      <c r="H36" s="35">
        <v>-10.696999999999999</v>
      </c>
      <c r="I36" s="35">
        <v>-9.9710000000000001</v>
      </c>
      <c r="J36" s="35">
        <v>-8.1489999999999991</v>
      </c>
      <c r="K36" s="35">
        <v>-10.156000000000001</v>
      </c>
      <c r="L36" s="35">
        <v>-9.1440000000000001</v>
      </c>
      <c r="M36" s="35">
        <v>-8.3469999999999995</v>
      </c>
      <c r="N36" s="35">
        <v>-10.602</v>
      </c>
      <c r="O36" s="35">
        <v>-12.125999999999999</v>
      </c>
      <c r="P36" s="35">
        <v>-10.391999999999999</v>
      </c>
      <c r="Q36" s="35">
        <v>-10.487</v>
      </c>
      <c r="R36" s="35">
        <v>-13.496</v>
      </c>
      <c r="S36" s="35">
        <v>-13.998999999999999</v>
      </c>
      <c r="T36" s="35">
        <v>-13.444999999999999</v>
      </c>
      <c r="U36" s="35">
        <v>-12.101999999999999</v>
      </c>
      <c r="V36" s="35">
        <v>-13.048</v>
      </c>
      <c r="W36" s="35">
        <v>-15.643000000000001</v>
      </c>
      <c r="X36" s="35">
        <v>-17.521000000000001</v>
      </c>
      <c r="Y36" s="35">
        <v>-13.163</v>
      </c>
      <c r="Z36" s="35">
        <v>-15.782</v>
      </c>
      <c r="AA36" s="35">
        <v>-17.098485050000001</v>
      </c>
      <c r="AB36" s="35">
        <v>-17.648598230000005</v>
      </c>
      <c r="AC36" s="45">
        <v>-14.450039440000001</v>
      </c>
      <c r="AD36" s="45">
        <v>-18.869346570000001</v>
      </c>
      <c r="AE36" s="45">
        <v>-20.923743119999997</v>
      </c>
      <c r="AF36" s="45">
        <v>-19.459680469999999</v>
      </c>
      <c r="AG36" s="45">
        <v>-18.89468798</v>
      </c>
      <c r="AH36" s="45">
        <v>-26.3158727</v>
      </c>
      <c r="AI36" s="45">
        <v>-15.990159869999999</v>
      </c>
      <c r="AJ36" s="35">
        <v>-18.962025559999997</v>
      </c>
      <c r="AK36" s="252">
        <v>-17.587366170000003</v>
      </c>
      <c r="AL36" s="35">
        <v>-17.799392059999999</v>
      </c>
      <c r="AM36" s="45">
        <v>-18.573356230000005</v>
      </c>
      <c r="AN36" s="35">
        <v>-22.077792730000002</v>
      </c>
      <c r="AO36" s="35">
        <v>-20.20397569</v>
      </c>
      <c r="AP36" s="35">
        <v>-21.958215950000003</v>
      </c>
      <c r="AQ36" s="35">
        <v>-21.056616979999998</v>
      </c>
      <c r="AR36" s="35">
        <v>-35.669498160000003</v>
      </c>
      <c r="AS36" s="252">
        <v>-26.935010719999994</v>
      </c>
      <c r="AT36" s="45">
        <v>-29.562849320000002</v>
      </c>
      <c r="AU36" s="45">
        <v>-26.609023619999999</v>
      </c>
      <c r="AV36" s="35">
        <v>-27.006883284285998</v>
      </c>
      <c r="AW36" s="35">
        <v>-25.982427078574997</v>
      </c>
      <c r="AX36" s="35">
        <v>-29.159144696875003</v>
      </c>
      <c r="AY36" s="35">
        <v>-32.159999999999997</v>
      </c>
      <c r="AZ36" s="35">
        <v>-31.76</v>
      </c>
      <c r="BA36" s="35">
        <v>-26.37</v>
      </c>
      <c r="BB36" s="35">
        <v>-27.23</v>
      </c>
      <c r="BC36" s="35">
        <v>-28.61</v>
      </c>
      <c r="BD36" s="35">
        <v>-28.3</v>
      </c>
      <c r="BE36" s="35">
        <v>-34.26</v>
      </c>
      <c r="BF36" s="35">
        <v>-30.72</v>
      </c>
      <c r="BG36" s="35">
        <v>-31.23</v>
      </c>
      <c r="BH36" s="35">
        <v>-29.56</v>
      </c>
      <c r="BI36" s="35">
        <v>-28.71</v>
      </c>
      <c r="BJ36" s="253">
        <v>-28.86</v>
      </c>
      <c r="BK36" s="253">
        <v>-30</v>
      </c>
      <c r="BL36" s="253">
        <v>-29.7</v>
      </c>
      <c r="BM36" s="253">
        <v>-29.4</v>
      </c>
      <c r="BN36" s="35">
        <v>-33.979999999999997</v>
      </c>
      <c r="BO36" s="35">
        <v>-36.18</v>
      </c>
      <c r="BP36" s="252">
        <v>-39.409999999999997</v>
      </c>
      <c r="BQ36" s="35">
        <v>-40.700000000000003</v>
      </c>
      <c r="BR36" s="252">
        <v>-48.06</v>
      </c>
      <c r="BS36" s="35">
        <v>-52.11</v>
      </c>
      <c r="BT36" s="35">
        <v>-47.57</v>
      </c>
      <c r="BU36" s="35">
        <v>-41.972759501338601</v>
      </c>
      <c r="BV36" s="35">
        <f>-48.7882061959564-35</f>
        <v>-83.788206195956406</v>
      </c>
      <c r="BW36" s="45">
        <v>-39.940693621883</v>
      </c>
      <c r="BX36" s="45">
        <v>-41.693411318636898</v>
      </c>
      <c r="BY36" s="45">
        <v>-40.099704216201197</v>
      </c>
      <c r="BZ36" s="35">
        <v>-47.620648415337499</v>
      </c>
      <c r="CA36" s="35">
        <v>-45.357766575627899</v>
      </c>
      <c r="CB36" s="35">
        <v>-46.285201788672204</v>
      </c>
      <c r="CC36" s="35">
        <v>-48.528738403329569</v>
      </c>
      <c r="CD36" s="35">
        <v>-47.681831851392104</v>
      </c>
      <c r="CE36" s="35">
        <v>-39.444136012636108</v>
      </c>
      <c r="CF36" s="35">
        <v>-51.218446348333813</v>
      </c>
      <c r="CG36" s="35">
        <v>-45.499264413445488</v>
      </c>
      <c r="CH36" s="35">
        <v>-68.109803785391094</v>
      </c>
      <c r="CI36" s="35">
        <v>-62.76091879678539</v>
      </c>
      <c r="CJ36" s="35">
        <v>-76.876159521863698</v>
      </c>
      <c r="CK36" s="35">
        <v>-67.835642528080001</v>
      </c>
      <c r="CL36" s="35">
        <v>-78.942000018079966</v>
      </c>
      <c r="CM36" s="35">
        <v>-78.97064349558002</v>
      </c>
      <c r="CN36" s="35">
        <v>-79.776767915579981</v>
      </c>
      <c r="CO36" s="35">
        <v>-79.936578036962999</v>
      </c>
      <c r="CP36" s="35">
        <v>-89.117122655579962</v>
      </c>
      <c r="CQ36" s="35">
        <v>-80.134137890000019</v>
      </c>
      <c r="CR36" s="45">
        <v>-103.63068563000002</v>
      </c>
      <c r="CS36" s="45">
        <v>-88.145324830000007</v>
      </c>
      <c r="CT36" s="45">
        <v>-97.860944959999983</v>
      </c>
      <c r="CU36" s="340">
        <v>-99.719315420000001</v>
      </c>
      <c r="CW36" s="370"/>
    </row>
    <row r="37" spans="1:101" s="188" customFormat="1" x14ac:dyDescent="0.2">
      <c r="A37" s="36" t="s">
        <v>192</v>
      </c>
      <c r="B37" s="254"/>
      <c r="C37" s="37">
        <f t="shared" ref="C37:BJ37" si="22">SUM(C33:C36)</f>
        <v>-22.569299999999998</v>
      </c>
      <c r="D37" s="37">
        <f t="shared" si="22"/>
        <v>-18.663</v>
      </c>
      <c r="E37" s="37">
        <f t="shared" si="22"/>
        <v>-20.619</v>
      </c>
      <c r="F37" s="37">
        <f t="shared" si="22"/>
        <v>-23.655999999999999</v>
      </c>
      <c r="G37" s="37">
        <f t="shared" si="22"/>
        <v>-27.253</v>
      </c>
      <c r="H37" s="37">
        <f t="shared" si="22"/>
        <v>-23.896000000000001</v>
      </c>
      <c r="I37" s="37">
        <f t="shared" si="22"/>
        <v>-22.012999999999998</v>
      </c>
      <c r="J37" s="37">
        <f t="shared" si="22"/>
        <v>-22.461999999999996</v>
      </c>
      <c r="K37" s="37">
        <f t="shared" si="22"/>
        <v>-22.856999999999999</v>
      </c>
      <c r="L37" s="37">
        <f t="shared" si="22"/>
        <v>-21.264000000000003</v>
      </c>
      <c r="M37" s="37">
        <f t="shared" si="22"/>
        <v>-20.793999999999997</v>
      </c>
      <c r="N37" s="37">
        <f t="shared" si="22"/>
        <v>-25.752000000000002</v>
      </c>
      <c r="O37" s="37">
        <f t="shared" si="22"/>
        <v>-27.674999999999997</v>
      </c>
      <c r="P37" s="37">
        <f t="shared" si="22"/>
        <v>-25.181000000000001</v>
      </c>
      <c r="Q37" s="37">
        <f t="shared" si="22"/>
        <v>-23.61</v>
      </c>
      <c r="R37" s="37">
        <f t="shared" si="22"/>
        <v>-32.212000000000003</v>
      </c>
      <c r="S37" s="37">
        <f t="shared" si="22"/>
        <v>-33.234999999999999</v>
      </c>
      <c r="T37" s="37">
        <f t="shared" si="22"/>
        <v>-34.637999999999998</v>
      </c>
      <c r="U37" s="37">
        <f t="shared" si="22"/>
        <v>-30.629999999999995</v>
      </c>
      <c r="V37" s="37">
        <f t="shared" si="22"/>
        <v>-38.731000000000002</v>
      </c>
      <c r="W37" s="37">
        <f t="shared" si="22"/>
        <v>-47.533000000000001</v>
      </c>
      <c r="X37" s="37">
        <f t="shared" si="22"/>
        <v>-63.122</v>
      </c>
      <c r="Y37" s="37">
        <f t="shared" si="22"/>
        <v>-40.141000000000005</v>
      </c>
      <c r="Z37" s="37">
        <f t="shared" si="22"/>
        <v>-58.179999999999993</v>
      </c>
      <c r="AA37" s="37">
        <f t="shared" si="22"/>
        <v>-58.231687840000006</v>
      </c>
      <c r="AB37" s="37">
        <f t="shared" si="22"/>
        <v>-64.839130959999991</v>
      </c>
      <c r="AC37" s="255">
        <f t="shared" si="22"/>
        <v>-54.718855101000003</v>
      </c>
      <c r="AD37" s="39">
        <f t="shared" si="22"/>
        <v>-68.831870140000007</v>
      </c>
      <c r="AE37" s="39">
        <f t="shared" si="22"/>
        <v>-67.536969800000008</v>
      </c>
      <c r="AF37" s="39">
        <f t="shared" si="22"/>
        <v>-70.390655459999991</v>
      </c>
      <c r="AG37" s="39">
        <f t="shared" si="22"/>
        <v>-55.207343400000006</v>
      </c>
      <c r="AH37" s="39">
        <f t="shared" si="22"/>
        <v>-73.475556863500003</v>
      </c>
      <c r="AI37" s="39">
        <f t="shared" si="22"/>
        <v>-54.286033405832995</v>
      </c>
      <c r="AJ37" s="37">
        <f t="shared" si="22"/>
        <v>-59.525528692500004</v>
      </c>
      <c r="AK37" s="39">
        <f t="shared" si="22"/>
        <v>-49.926304690000002</v>
      </c>
      <c r="AL37" s="37">
        <f t="shared" si="22"/>
        <v>-65.144662629999999</v>
      </c>
      <c r="AM37" s="39">
        <f t="shared" si="22"/>
        <v>-63.414394169999994</v>
      </c>
      <c r="AN37" s="37">
        <f t="shared" si="22"/>
        <v>-76.332584510000004</v>
      </c>
      <c r="AO37" s="37">
        <f t="shared" si="22"/>
        <v>-62.597913929107001</v>
      </c>
      <c r="AP37" s="37">
        <f t="shared" si="22"/>
        <v>-80.208302570000001</v>
      </c>
      <c r="AQ37" s="37">
        <f t="shared" si="22"/>
        <v>-73.889031979999999</v>
      </c>
      <c r="AR37" s="37">
        <f t="shared" si="22"/>
        <v>-94.41484749</v>
      </c>
      <c r="AS37" s="255">
        <f t="shared" si="22"/>
        <v>-76.185603229999998</v>
      </c>
      <c r="AT37" s="39">
        <f t="shared" si="22"/>
        <v>-92.026524199999997</v>
      </c>
      <c r="AU37" s="39">
        <f t="shared" si="22"/>
        <v>-88.870920999999996</v>
      </c>
      <c r="AV37" s="37">
        <f t="shared" si="22"/>
        <v>-89.936403514285985</v>
      </c>
      <c r="AW37" s="37">
        <f t="shared" si="22"/>
        <v>-79.796084988575004</v>
      </c>
      <c r="AX37" s="37">
        <f t="shared" si="22"/>
        <v>-91.078510386874996</v>
      </c>
      <c r="AY37" s="37">
        <f t="shared" si="22"/>
        <v>-91.57</v>
      </c>
      <c r="AZ37" s="37">
        <f t="shared" si="22"/>
        <v>-96.61</v>
      </c>
      <c r="BA37" s="37">
        <f t="shared" si="22"/>
        <v>-72.16</v>
      </c>
      <c r="BB37" s="37">
        <f t="shared" si="22"/>
        <v>-92.600000000000009</v>
      </c>
      <c r="BC37" s="37">
        <f t="shared" si="22"/>
        <v>-92.14</v>
      </c>
      <c r="BD37" s="37">
        <f t="shared" si="22"/>
        <v>-93.27</v>
      </c>
      <c r="BE37" s="37">
        <f t="shared" si="22"/>
        <v>-90.56</v>
      </c>
      <c r="BF37" s="37">
        <f t="shared" si="22"/>
        <v>-106.77</v>
      </c>
      <c r="BG37" s="37">
        <f t="shared" si="22"/>
        <v>-104.36</v>
      </c>
      <c r="BH37" s="37">
        <f t="shared" si="22"/>
        <v>-103.86</v>
      </c>
      <c r="BI37" s="38">
        <f t="shared" si="22"/>
        <v>-92.890000000000015</v>
      </c>
      <c r="BJ37" s="47">
        <f t="shared" si="22"/>
        <v>-109.9</v>
      </c>
      <c r="BK37" s="47">
        <v>-109.4</v>
      </c>
      <c r="BL37" s="47">
        <f>SUM(BL33:BL36)</f>
        <v>-109.28</v>
      </c>
      <c r="BM37" s="47">
        <f>SUM(BM33:BM36)</f>
        <v>-96.339999999999975</v>
      </c>
      <c r="BN37" s="37">
        <v>-128.19999999999999</v>
      </c>
      <c r="BO37" s="37">
        <v>-124.1</v>
      </c>
      <c r="BP37" s="255">
        <v>-130.51</v>
      </c>
      <c r="BQ37" s="37">
        <v>-122.97499999999999</v>
      </c>
      <c r="BR37" s="255">
        <v>-157.26</v>
      </c>
      <c r="BS37" s="37">
        <v>-152.15600000000001</v>
      </c>
      <c r="BT37" s="37">
        <f t="shared" ref="BT37:CQ37" si="23">SUM(BT33:BT36)</f>
        <v>-153.06</v>
      </c>
      <c r="BU37" s="37">
        <f t="shared" si="23"/>
        <v>-134.55616032133861</v>
      </c>
      <c r="BV37" s="37">
        <f t="shared" si="23"/>
        <v>-189.53407152595622</v>
      </c>
      <c r="BW37" s="39">
        <f t="shared" si="23"/>
        <v>-164.24142589188301</v>
      </c>
      <c r="BX37" s="39">
        <f t="shared" si="23"/>
        <v>-165.79632152343291</v>
      </c>
      <c r="BY37" s="39">
        <f t="shared" si="23"/>
        <v>-148.40959462099718</v>
      </c>
      <c r="BZ37" s="37">
        <f t="shared" si="23"/>
        <v>-187.07475327013339</v>
      </c>
      <c r="CA37" s="37">
        <f t="shared" si="23"/>
        <v>-178.88991832123989</v>
      </c>
      <c r="CB37" s="37">
        <f t="shared" si="23"/>
        <v>-185.38702890397121</v>
      </c>
      <c r="CC37" s="37">
        <f t="shared" si="23"/>
        <v>-177.18920282793994</v>
      </c>
      <c r="CD37" s="37">
        <f t="shared" si="23"/>
        <v>-221.12669812600242</v>
      </c>
      <c r="CE37" s="37">
        <f t="shared" si="23"/>
        <v>-202.44027884724653</v>
      </c>
      <c r="CF37" s="37">
        <f t="shared" si="23"/>
        <v>-216.3573221210537</v>
      </c>
      <c r="CG37" s="37">
        <f t="shared" si="23"/>
        <v>-192.46162301622059</v>
      </c>
      <c r="CH37" s="37">
        <f t="shared" si="23"/>
        <v>-252.77948123816651</v>
      </c>
      <c r="CI37" s="37">
        <f t="shared" si="23"/>
        <v>-248.50839324956064</v>
      </c>
      <c r="CJ37" s="37">
        <f t="shared" si="23"/>
        <v>-271.9031877116883</v>
      </c>
      <c r="CK37" s="37">
        <f t="shared" si="23"/>
        <v>-237.75517686808004</v>
      </c>
      <c r="CL37" s="37">
        <f t="shared" si="23"/>
        <v>-273.27345067808017</v>
      </c>
      <c r="CM37" s="37">
        <f t="shared" si="23"/>
        <v>-289.22238697558009</v>
      </c>
      <c r="CN37" s="37">
        <f t="shared" si="23"/>
        <v>-287.28159463557989</v>
      </c>
      <c r="CO37" s="37">
        <f t="shared" si="23"/>
        <v>-265.69696426696311</v>
      </c>
      <c r="CP37" s="37">
        <f t="shared" si="23"/>
        <v>-306.26901597558003</v>
      </c>
      <c r="CQ37" s="37">
        <f t="shared" si="23"/>
        <v>-303.23897734000002</v>
      </c>
      <c r="CR37" s="39">
        <f t="shared" ref="CR37:CT37" si="24">SUM(CR33:CR36)</f>
        <v>-340.89751478000005</v>
      </c>
      <c r="CS37" s="39">
        <f t="shared" si="24"/>
        <v>-300.09300461999999</v>
      </c>
      <c r="CT37" s="39">
        <f t="shared" si="24"/>
        <v>-335.41980480999973</v>
      </c>
      <c r="CU37" s="42">
        <f t="shared" ref="CU37" si="25">SUM(CU33:CU36)</f>
        <v>-333.46382997999979</v>
      </c>
      <c r="CV37" s="241"/>
      <c r="CW37" s="241"/>
    </row>
    <row r="38" spans="1:101" s="188" customFormat="1" x14ac:dyDescent="0.2">
      <c r="A38" s="36"/>
      <c r="B38" s="254"/>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255"/>
      <c r="AD38" s="39"/>
      <c r="AE38" s="39"/>
      <c r="AF38" s="39"/>
      <c r="AG38" s="39"/>
      <c r="AH38" s="39"/>
      <c r="AI38" s="39"/>
      <c r="AJ38" s="37"/>
      <c r="AK38" s="255"/>
      <c r="AL38" s="37"/>
      <c r="AM38" s="39"/>
      <c r="AN38" s="37"/>
      <c r="AO38" s="37"/>
      <c r="AP38" s="37"/>
      <c r="AQ38" s="37"/>
      <c r="AR38" s="37"/>
      <c r="AS38" s="255"/>
      <c r="AT38" s="39"/>
      <c r="AU38" s="39"/>
      <c r="AV38" s="37"/>
      <c r="AW38" s="37"/>
      <c r="AX38" s="37"/>
      <c r="AY38" s="37"/>
      <c r="AZ38" s="37"/>
      <c r="BA38" s="37"/>
      <c r="BB38" s="37"/>
      <c r="BC38" s="37"/>
      <c r="BD38" s="37"/>
      <c r="BE38" s="37"/>
      <c r="BF38" s="37"/>
      <c r="BG38" s="37"/>
      <c r="BH38" s="37"/>
      <c r="BI38" s="39"/>
      <c r="BJ38" s="37"/>
      <c r="BK38" s="37"/>
      <c r="BL38" s="37"/>
      <c r="BM38" s="37"/>
      <c r="BN38" s="37"/>
      <c r="BO38" s="37"/>
      <c r="BP38" s="255"/>
      <c r="BQ38" s="37"/>
      <c r="BR38" s="255"/>
      <c r="BS38" s="37"/>
      <c r="BT38" s="37"/>
      <c r="BU38" s="37"/>
      <c r="BV38" s="37"/>
      <c r="BW38" s="39"/>
      <c r="BX38" s="39"/>
      <c r="BY38" s="39"/>
      <c r="BZ38" s="37"/>
      <c r="CA38" s="37"/>
      <c r="CB38" s="37"/>
      <c r="CC38" s="37"/>
      <c r="CD38" s="37"/>
      <c r="CE38" s="37"/>
      <c r="CF38" s="37"/>
      <c r="CG38" s="37"/>
      <c r="CH38" s="37"/>
      <c r="CI38" s="37"/>
      <c r="CJ38" s="37"/>
      <c r="CK38" s="37"/>
      <c r="CL38" s="37"/>
      <c r="CM38" s="37"/>
      <c r="CN38" s="37"/>
      <c r="CO38" s="37"/>
      <c r="CP38" s="37"/>
      <c r="CQ38" s="37"/>
      <c r="CR38" s="39"/>
      <c r="CS38" s="39"/>
      <c r="CT38" s="39"/>
      <c r="CU38" s="363"/>
    </row>
    <row r="39" spans="1:101" s="188" customFormat="1" x14ac:dyDescent="0.2">
      <c r="A39" s="5" t="s">
        <v>91</v>
      </c>
      <c r="B39" s="240"/>
      <c r="C39" s="38">
        <f t="shared" ref="C39:BN39" si="26">SUM(C31,C37)</f>
        <v>-0.96929999999999694</v>
      </c>
      <c r="D39" s="38">
        <f t="shared" si="26"/>
        <v>-2.1630000000000003</v>
      </c>
      <c r="E39" s="38">
        <f t="shared" si="26"/>
        <v>0.9809999999999981</v>
      </c>
      <c r="F39" s="38">
        <f t="shared" si="26"/>
        <v>11.544000000000004</v>
      </c>
      <c r="G39" s="38">
        <f t="shared" si="26"/>
        <v>2.4469999999999992</v>
      </c>
      <c r="H39" s="38">
        <f t="shared" si="26"/>
        <v>0.70400000000000063</v>
      </c>
      <c r="I39" s="38">
        <f t="shared" si="26"/>
        <v>8.1870000000000012</v>
      </c>
      <c r="J39" s="38">
        <f t="shared" si="26"/>
        <v>15.638000000000005</v>
      </c>
      <c r="K39" s="38">
        <f t="shared" si="26"/>
        <v>6.0710000000000015</v>
      </c>
      <c r="L39" s="38">
        <f t="shared" si="26"/>
        <v>12.229999999999997</v>
      </c>
      <c r="M39" s="38">
        <f t="shared" si="26"/>
        <v>19.915999999999997</v>
      </c>
      <c r="N39" s="38">
        <f t="shared" si="26"/>
        <v>20.657999999999994</v>
      </c>
      <c r="O39" s="38">
        <f t="shared" si="26"/>
        <v>37.734999999999999</v>
      </c>
      <c r="P39" s="38">
        <f t="shared" si="26"/>
        <v>24.166999999999998</v>
      </c>
      <c r="Q39" s="38">
        <f t="shared" si="26"/>
        <v>16.719000000000001</v>
      </c>
      <c r="R39" s="38">
        <f t="shared" si="26"/>
        <v>22.516999999999996</v>
      </c>
      <c r="S39" s="38">
        <f t="shared" si="26"/>
        <v>27.564999999999998</v>
      </c>
      <c r="T39" s="38">
        <f t="shared" si="26"/>
        <v>31.240000000000002</v>
      </c>
      <c r="U39" s="38">
        <f t="shared" si="26"/>
        <v>43.25800000000001</v>
      </c>
      <c r="V39" s="38">
        <f t="shared" si="26"/>
        <v>44.557000000000009</v>
      </c>
      <c r="W39" s="38">
        <f t="shared" si="26"/>
        <v>75.916999999999987</v>
      </c>
      <c r="X39" s="38">
        <f t="shared" si="26"/>
        <v>62.078000000000003</v>
      </c>
      <c r="Y39" s="38">
        <f t="shared" si="26"/>
        <v>46.413999999999987</v>
      </c>
      <c r="Z39" s="38">
        <f t="shared" si="26"/>
        <v>59.458000000000013</v>
      </c>
      <c r="AA39" s="38">
        <f t="shared" si="26"/>
        <v>77.093312159999982</v>
      </c>
      <c r="AB39" s="38">
        <f t="shared" si="26"/>
        <v>73.685869039999986</v>
      </c>
      <c r="AC39" s="38">
        <f t="shared" si="26"/>
        <v>75.791099898999988</v>
      </c>
      <c r="AD39" s="38">
        <f t="shared" si="26"/>
        <v>81.28177986</v>
      </c>
      <c r="AE39" s="38">
        <f t="shared" si="26"/>
        <v>68.813029199999988</v>
      </c>
      <c r="AF39" s="38">
        <f t="shared" si="26"/>
        <v>59.311964540000034</v>
      </c>
      <c r="AG39" s="38">
        <f t="shared" si="26"/>
        <v>61.334463799999988</v>
      </c>
      <c r="AH39" s="38">
        <f t="shared" si="26"/>
        <v>50.03715393649999</v>
      </c>
      <c r="AI39" s="38">
        <f t="shared" si="26"/>
        <v>53.396373594167002</v>
      </c>
      <c r="AJ39" s="38">
        <f t="shared" si="26"/>
        <v>72.051617027500001</v>
      </c>
      <c r="AK39" s="38">
        <f t="shared" si="26"/>
        <v>76.640318430000008</v>
      </c>
      <c r="AL39" s="38">
        <f t="shared" si="26"/>
        <v>77.912210509999994</v>
      </c>
      <c r="AM39" s="38">
        <f t="shared" si="26"/>
        <v>89.085605830000006</v>
      </c>
      <c r="AN39" s="38">
        <f t="shared" si="26"/>
        <v>82.529641489999989</v>
      </c>
      <c r="AO39" s="38">
        <f t="shared" si="26"/>
        <v>73.653012570892997</v>
      </c>
      <c r="AP39" s="38">
        <f t="shared" si="26"/>
        <v>84.934971910000002</v>
      </c>
      <c r="AQ39" s="38">
        <f t="shared" si="26"/>
        <v>106.17196801999998</v>
      </c>
      <c r="AR39" s="38">
        <f t="shared" si="26"/>
        <v>74.396152510000007</v>
      </c>
      <c r="AS39" s="256">
        <f t="shared" si="26"/>
        <v>102.80238674</v>
      </c>
      <c r="AT39" s="257">
        <f t="shared" si="26"/>
        <v>62.301704810000004</v>
      </c>
      <c r="AU39" s="257">
        <f t="shared" si="26"/>
        <v>72.219079000000008</v>
      </c>
      <c r="AV39" s="38">
        <f t="shared" si="26"/>
        <v>48.613596485714027</v>
      </c>
      <c r="AW39" s="38">
        <f t="shared" si="26"/>
        <v>42.619038491425002</v>
      </c>
      <c r="AX39" s="38">
        <f t="shared" si="26"/>
        <v>37.512431083124994</v>
      </c>
      <c r="AY39" s="38">
        <f t="shared" si="26"/>
        <v>53.522999999999996</v>
      </c>
      <c r="AZ39" s="38">
        <f t="shared" si="26"/>
        <v>35.915000000000006</v>
      </c>
      <c r="BA39" s="38">
        <f t="shared" si="26"/>
        <v>72.653639999999996</v>
      </c>
      <c r="BB39" s="38">
        <f t="shared" si="26"/>
        <v>65.221927000000008</v>
      </c>
      <c r="BC39" s="38">
        <f t="shared" si="26"/>
        <v>76.055182590000001</v>
      </c>
      <c r="BD39" s="38">
        <f t="shared" si="26"/>
        <v>67.014705599999999</v>
      </c>
      <c r="BE39" s="38">
        <f t="shared" si="26"/>
        <v>71.073647600000015</v>
      </c>
      <c r="BF39" s="38">
        <f t="shared" si="26"/>
        <v>81.169109910000017</v>
      </c>
      <c r="BG39" s="38">
        <f t="shared" si="26"/>
        <v>115.14999999999999</v>
      </c>
      <c r="BH39" s="38">
        <f t="shared" si="26"/>
        <v>121.90600000000002</v>
      </c>
      <c r="BI39" s="257">
        <f t="shared" si="26"/>
        <v>108.42799999999997</v>
      </c>
      <c r="BJ39" s="38">
        <f t="shared" si="26"/>
        <v>140.55600000000001</v>
      </c>
      <c r="BK39" s="38">
        <f t="shared" si="26"/>
        <v>114.70581927000009</v>
      </c>
      <c r="BL39" s="38">
        <f t="shared" si="26"/>
        <v>111.35248832000016</v>
      </c>
      <c r="BM39" s="38">
        <f t="shared" si="26"/>
        <v>122.34797571000007</v>
      </c>
      <c r="BN39" s="38">
        <f t="shared" si="26"/>
        <v>116.99861378000011</v>
      </c>
      <c r="BO39" s="38">
        <f t="shared" ref="BO39:CQ39" si="27">SUM(BO31,BO37)</f>
        <v>120.41542404000012</v>
      </c>
      <c r="BP39" s="38">
        <f t="shared" si="27"/>
        <v>103.05236954000017</v>
      </c>
      <c r="BQ39" s="38">
        <f t="shared" si="27"/>
        <v>103.70220621999999</v>
      </c>
      <c r="BR39" s="38">
        <f t="shared" si="27"/>
        <v>113.53231296000013</v>
      </c>
      <c r="BS39" s="38">
        <f t="shared" si="27"/>
        <v>119.15660383000011</v>
      </c>
      <c r="BT39" s="38">
        <f t="shared" si="27"/>
        <v>90.622872050000012</v>
      </c>
      <c r="BU39" s="38">
        <f t="shared" si="27"/>
        <v>132.53402727866137</v>
      </c>
      <c r="BV39" s="38">
        <f t="shared" si="27"/>
        <v>77.378020984044042</v>
      </c>
      <c r="BW39" s="257">
        <f t="shared" si="27"/>
        <v>103.41086253079317</v>
      </c>
      <c r="BX39" s="257">
        <f t="shared" si="27"/>
        <v>118.30270219834446</v>
      </c>
      <c r="BY39" s="257">
        <f t="shared" si="27"/>
        <v>164.61959639257802</v>
      </c>
      <c r="BZ39" s="38">
        <f t="shared" si="27"/>
        <v>141.59427260183787</v>
      </c>
      <c r="CA39" s="38">
        <f t="shared" si="27"/>
        <v>362.76489042484502</v>
      </c>
      <c r="CB39" s="38">
        <f t="shared" si="27"/>
        <v>340.25672430907321</v>
      </c>
      <c r="CC39" s="38">
        <f t="shared" si="27"/>
        <v>398.21087750593864</v>
      </c>
      <c r="CD39" s="38">
        <f t="shared" si="27"/>
        <v>484.95472884828575</v>
      </c>
      <c r="CE39" s="38">
        <f t="shared" si="27"/>
        <v>754.30680120512568</v>
      </c>
      <c r="CF39" s="38">
        <f t="shared" si="27"/>
        <v>537.20976348244653</v>
      </c>
      <c r="CG39" s="38">
        <f t="shared" si="27"/>
        <v>574.4725273572808</v>
      </c>
      <c r="CH39" s="38">
        <f t="shared" si="27"/>
        <v>571.43517537182152</v>
      </c>
      <c r="CI39" s="38">
        <f t="shared" si="27"/>
        <v>519.21350908044428</v>
      </c>
      <c r="CJ39" s="38">
        <f t="shared" si="27"/>
        <v>345.86141700831655</v>
      </c>
      <c r="CK39" s="38">
        <f t="shared" si="27"/>
        <v>502.53754083191984</v>
      </c>
      <c r="CL39" s="38">
        <f t="shared" si="27"/>
        <v>573.71659890191995</v>
      </c>
      <c r="CM39" s="38">
        <f t="shared" si="27"/>
        <v>578.81014475442055</v>
      </c>
      <c r="CN39" s="38">
        <f t="shared" si="27"/>
        <v>545.70208483442161</v>
      </c>
      <c r="CO39" s="38">
        <f t="shared" si="27"/>
        <v>588.0837620444197</v>
      </c>
      <c r="CP39" s="38">
        <f t="shared" si="27"/>
        <v>576.19842388442021</v>
      </c>
      <c r="CQ39" s="38">
        <f t="shared" si="27"/>
        <v>647.54397028000051</v>
      </c>
      <c r="CR39" s="257">
        <f t="shared" ref="CR39:CT39" si="28">SUM(CR31,CR37)</f>
        <v>587.65258297250523</v>
      </c>
      <c r="CS39" s="257">
        <f t="shared" si="28"/>
        <v>658.64262356000029</v>
      </c>
      <c r="CT39" s="257">
        <f t="shared" si="28"/>
        <v>726.39530598000056</v>
      </c>
      <c r="CU39" s="303">
        <f t="shared" ref="CU39" si="29">SUM(CU31,CU37)</f>
        <v>818.15408801000274</v>
      </c>
      <c r="CV39" s="241"/>
      <c r="CW39" s="241"/>
    </row>
    <row r="40" spans="1:101" s="188" customFormat="1" x14ac:dyDescent="0.2">
      <c r="A40" s="36"/>
      <c r="B40" s="254"/>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255"/>
      <c r="AD40" s="39"/>
      <c r="AE40" s="39"/>
      <c r="AF40" s="39"/>
      <c r="AG40" s="39"/>
      <c r="AH40" s="39"/>
      <c r="AI40" s="39"/>
      <c r="AJ40" s="37"/>
      <c r="AK40" s="255"/>
      <c r="AL40" s="37"/>
      <c r="AM40" s="39"/>
      <c r="AN40" s="37"/>
      <c r="AO40" s="37"/>
      <c r="AP40" s="37"/>
      <c r="AQ40" s="37"/>
      <c r="AR40" s="37"/>
      <c r="AS40" s="255"/>
      <c r="AT40" s="39"/>
      <c r="AU40" s="39"/>
      <c r="AV40" s="37"/>
      <c r="AW40" s="37"/>
      <c r="AX40" s="37"/>
      <c r="AY40" s="37"/>
      <c r="AZ40" s="37"/>
      <c r="BA40" s="37"/>
      <c r="BB40" s="37"/>
      <c r="BC40" s="37"/>
      <c r="BD40" s="37"/>
      <c r="BE40" s="37"/>
      <c r="BF40" s="37"/>
      <c r="BG40" s="37"/>
      <c r="BH40" s="37"/>
      <c r="BI40" s="39"/>
      <c r="BJ40" s="37"/>
      <c r="BK40" s="37"/>
      <c r="BL40" s="37"/>
      <c r="BM40" s="37"/>
      <c r="BN40" s="37"/>
      <c r="BO40" s="37"/>
      <c r="BP40" s="255"/>
      <c r="BQ40" s="37"/>
      <c r="BR40" s="255"/>
      <c r="BS40" s="37"/>
      <c r="BT40" s="37"/>
      <c r="BU40" s="37"/>
      <c r="BV40" s="37"/>
      <c r="BW40" s="39"/>
      <c r="BX40" s="39"/>
      <c r="BY40" s="39"/>
      <c r="BZ40" s="37"/>
      <c r="CA40" s="37"/>
      <c r="CB40" s="37"/>
      <c r="CC40" s="37"/>
      <c r="CD40" s="37"/>
      <c r="CE40" s="37"/>
      <c r="CF40" s="37"/>
      <c r="CG40" s="37"/>
      <c r="CH40" s="37"/>
      <c r="CI40" s="37"/>
      <c r="CJ40" s="37"/>
      <c r="CK40" s="37"/>
      <c r="CL40" s="37"/>
      <c r="CM40" s="37"/>
      <c r="CN40" s="37"/>
      <c r="CO40" s="37"/>
      <c r="CP40" s="37"/>
      <c r="CQ40" s="37"/>
      <c r="CR40" s="39"/>
      <c r="CS40" s="39"/>
      <c r="CT40" s="39"/>
      <c r="CU40" s="42"/>
    </row>
    <row r="41" spans="1:101" x14ac:dyDescent="0.2">
      <c r="A41" s="23" t="s">
        <v>92</v>
      </c>
      <c r="B41" s="250"/>
      <c r="C41" s="24"/>
      <c r="D41" s="24"/>
      <c r="E41" s="24"/>
      <c r="F41" s="24">
        <v>0</v>
      </c>
      <c r="G41" s="24">
        <v>0</v>
      </c>
      <c r="H41" s="24">
        <v>-0.1</v>
      </c>
      <c r="I41" s="24">
        <v>0.1</v>
      </c>
      <c r="J41" s="24">
        <v>-0.1</v>
      </c>
      <c r="K41" s="24">
        <v>0</v>
      </c>
      <c r="L41" s="24"/>
      <c r="M41" s="24">
        <v>0</v>
      </c>
      <c r="N41" s="24">
        <v>0</v>
      </c>
      <c r="O41" s="24">
        <v>0</v>
      </c>
      <c r="P41" s="24">
        <v>0</v>
      </c>
      <c r="Q41" s="24">
        <v>0</v>
      </c>
      <c r="R41" s="24">
        <v>0</v>
      </c>
      <c r="S41" s="24">
        <v>0</v>
      </c>
      <c r="T41" s="24">
        <v>0</v>
      </c>
      <c r="U41" s="24">
        <v>0</v>
      </c>
      <c r="V41" s="24">
        <v>0.1</v>
      </c>
      <c r="W41" s="24">
        <v>0</v>
      </c>
      <c r="X41" s="24">
        <v>0</v>
      </c>
      <c r="Y41" s="24">
        <v>0</v>
      </c>
      <c r="Z41" s="24">
        <v>0</v>
      </c>
      <c r="AA41" s="24">
        <v>-0.5</v>
      </c>
      <c r="AB41" s="24">
        <v>0</v>
      </c>
      <c r="AC41" s="25">
        <v>0</v>
      </c>
      <c r="AD41" s="25">
        <v>-0.95</v>
      </c>
      <c r="AE41" s="25">
        <v>0</v>
      </c>
      <c r="AF41" s="25">
        <v>0</v>
      </c>
      <c r="AG41" s="25">
        <v>0</v>
      </c>
      <c r="AH41" s="25">
        <v>0</v>
      </c>
      <c r="AI41" s="25">
        <v>0</v>
      </c>
      <c r="AJ41" s="24">
        <v>0</v>
      </c>
      <c r="AK41" s="232">
        <v>0</v>
      </c>
      <c r="AL41" s="24">
        <v>0</v>
      </c>
      <c r="AM41" s="25">
        <v>0</v>
      </c>
      <c r="AN41" s="24">
        <v>0</v>
      </c>
      <c r="AO41" s="24">
        <v>0</v>
      </c>
      <c r="AP41" s="24">
        <v>0</v>
      </c>
      <c r="AQ41" s="24">
        <v>0</v>
      </c>
      <c r="AR41" s="24">
        <v>-6</v>
      </c>
      <c r="AS41" s="232">
        <v>0</v>
      </c>
      <c r="AT41" s="25">
        <v>0</v>
      </c>
      <c r="AU41" s="25">
        <v>0</v>
      </c>
      <c r="AV41" s="24">
        <v>0</v>
      </c>
      <c r="AW41" s="24">
        <v>-1</v>
      </c>
      <c r="AX41" s="24">
        <v>0</v>
      </c>
      <c r="AY41" s="24">
        <v>0</v>
      </c>
      <c r="AZ41" s="24">
        <v>0</v>
      </c>
      <c r="BA41" s="24">
        <v>0</v>
      </c>
      <c r="BB41" s="24">
        <v>-1</v>
      </c>
      <c r="BC41" s="24">
        <v>-0.1</v>
      </c>
      <c r="BD41" s="24">
        <v>-0.1</v>
      </c>
      <c r="BE41" s="24">
        <v>0.1</v>
      </c>
      <c r="BF41" s="24">
        <v>0.5</v>
      </c>
      <c r="BG41" s="24">
        <v>-0.100984</v>
      </c>
      <c r="BH41" s="24">
        <v>-0.21602199999999999</v>
      </c>
      <c r="BI41" s="249">
        <v>-4.5926000000000002E-2</v>
      </c>
      <c r="BJ41" s="170">
        <v>0.14727000000000001</v>
      </c>
      <c r="BK41" s="170">
        <v>-0.131101</v>
      </c>
      <c r="BL41" s="170">
        <v>-0.22164800000000001</v>
      </c>
      <c r="BM41" s="170">
        <v>-0.16992499999999999</v>
      </c>
      <c r="BN41" s="24">
        <v>1.7679E-2</v>
      </c>
      <c r="BO41" s="24">
        <v>0.215</v>
      </c>
      <c r="BP41" s="232">
        <v>7.0000000000000007E-2</v>
      </c>
      <c r="BQ41" s="24">
        <v>0.08</v>
      </c>
      <c r="BR41" s="232">
        <v>2.5288000000000001E-2</v>
      </c>
      <c r="BS41" s="24">
        <v>0.35199999999999998</v>
      </c>
      <c r="BT41" s="24">
        <v>-0.7</v>
      </c>
      <c r="BU41" s="24">
        <v>-0.438</v>
      </c>
      <c r="BV41" s="24">
        <v>-0.37414310000000001</v>
      </c>
      <c r="BW41" s="25">
        <v>-1.181427</v>
      </c>
      <c r="BX41" s="25">
        <v>1.6518256</v>
      </c>
      <c r="BY41" s="25">
        <v>-0.45436603999999908</v>
      </c>
      <c r="BZ41" s="24">
        <v>0.31376823999999998</v>
      </c>
      <c r="CA41" s="24">
        <v>0.52257983000000008</v>
      </c>
      <c r="CB41" s="24">
        <v>-4.9674577799999993</v>
      </c>
      <c r="CC41" s="24">
        <v>-0.410795470000001</v>
      </c>
      <c r="CD41" s="24">
        <v>0.98423378999999911</v>
      </c>
      <c r="CE41" s="24">
        <v>1.4349887600000015</v>
      </c>
      <c r="CF41" s="24">
        <v>-0.85933320000000113</v>
      </c>
      <c r="CG41" s="24">
        <v>-0.52240397000000061</v>
      </c>
      <c r="CH41" s="24">
        <v>-0.29536356999999847</v>
      </c>
      <c r="CI41" s="24">
        <v>1.68922656</v>
      </c>
      <c r="CJ41" s="24">
        <v>-1.3359486</v>
      </c>
      <c r="CK41" s="24">
        <v>-0.45692785999999852</v>
      </c>
      <c r="CL41" s="24">
        <v>-0.97691404000000093</v>
      </c>
      <c r="CM41" s="24">
        <v>-0.196947540000001</v>
      </c>
      <c r="CN41" s="24">
        <v>0.32478503999999908</v>
      </c>
      <c r="CO41" s="24">
        <v>-0.14835414999999849</v>
      </c>
      <c r="CP41" s="24">
        <v>3.4397812600000011</v>
      </c>
      <c r="CQ41" s="24">
        <v>-0.55319542999999971</v>
      </c>
      <c r="CR41" s="24">
        <v>8.6498769999999559E-2</v>
      </c>
      <c r="CS41" s="24">
        <v>-0.58489120000000017</v>
      </c>
      <c r="CT41" s="24">
        <v>1.5073696800000009</v>
      </c>
      <c r="CU41" s="402">
        <v>-7.4274180000000634E-2</v>
      </c>
      <c r="CW41" s="370"/>
    </row>
    <row r="42" spans="1:101" x14ac:dyDescent="0.2">
      <c r="A42" s="258" t="s">
        <v>136</v>
      </c>
      <c r="B42" s="259"/>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252"/>
      <c r="AD42" s="45"/>
      <c r="AE42" s="45"/>
      <c r="AF42" s="45"/>
      <c r="AG42" s="45"/>
      <c r="AH42" s="45"/>
      <c r="AI42" s="45"/>
      <c r="AJ42" s="35"/>
      <c r="AK42" s="252"/>
      <c r="AL42" s="35"/>
      <c r="AM42" s="45"/>
      <c r="AN42" s="35"/>
      <c r="AO42" s="35"/>
      <c r="AP42" s="35"/>
      <c r="AQ42" s="35"/>
      <c r="AR42" s="35"/>
      <c r="AS42" s="252"/>
      <c r="AT42" s="45"/>
      <c r="AU42" s="45"/>
      <c r="AV42" s="35"/>
      <c r="AW42" s="35"/>
      <c r="AX42" s="35"/>
      <c r="AY42" s="35"/>
      <c r="AZ42" s="35"/>
      <c r="BA42" s="35"/>
      <c r="BB42" s="35"/>
      <c r="BC42" s="35"/>
      <c r="BD42" s="35"/>
      <c r="BE42" s="35"/>
      <c r="BF42" s="35"/>
      <c r="BG42" s="35"/>
      <c r="BH42" s="35"/>
      <c r="BI42" s="45"/>
      <c r="BJ42" s="35"/>
      <c r="BK42" s="35"/>
      <c r="BL42" s="35"/>
      <c r="BM42" s="35"/>
      <c r="BN42" s="35"/>
      <c r="BO42" s="35"/>
      <c r="BP42" s="252"/>
      <c r="BQ42" s="35"/>
      <c r="BR42" s="252"/>
      <c r="BS42" s="35"/>
      <c r="BT42" s="35"/>
      <c r="BU42" s="35"/>
      <c r="BV42" s="35">
        <v>-0.6552</v>
      </c>
      <c r="BW42" s="45">
        <v>-2.2652459999999999</v>
      </c>
      <c r="BX42" s="45">
        <v>-2.4945930000000001</v>
      </c>
      <c r="BY42" s="45">
        <v>-1.6407729999999998</v>
      </c>
      <c r="BZ42" s="35">
        <v>-1.8413349999999999</v>
      </c>
      <c r="CA42" s="35">
        <v>-2.393097</v>
      </c>
      <c r="CB42" s="35">
        <v>-2.095237</v>
      </c>
      <c r="CC42" s="35">
        <v>-1.339917</v>
      </c>
      <c r="CD42" s="35"/>
      <c r="CE42" s="35"/>
      <c r="CF42" s="35"/>
      <c r="CG42" s="35"/>
      <c r="CH42" s="35"/>
      <c r="CI42" s="35"/>
      <c r="CJ42" s="35"/>
      <c r="CK42" s="35"/>
      <c r="CL42" s="35"/>
      <c r="CM42" s="35"/>
      <c r="CN42" s="35"/>
      <c r="CO42" s="35"/>
      <c r="CP42" s="35"/>
      <c r="CQ42" s="35"/>
      <c r="CR42" s="35"/>
      <c r="CS42" s="35"/>
      <c r="CT42" s="35"/>
      <c r="CU42" s="403"/>
    </row>
    <row r="43" spans="1:101" s="188" customFormat="1" x14ac:dyDescent="0.2">
      <c r="A43" s="36" t="s">
        <v>193</v>
      </c>
      <c r="B43" s="254"/>
      <c r="C43" s="37">
        <f t="shared" ref="C43:BN43" si="30">SUM(C39,C41)</f>
        <v>-0.96929999999999694</v>
      </c>
      <c r="D43" s="37">
        <f t="shared" si="30"/>
        <v>-2.1630000000000003</v>
      </c>
      <c r="E43" s="37">
        <f t="shared" si="30"/>
        <v>0.9809999999999981</v>
      </c>
      <c r="F43" s="37">
        <f t="shared" si="30"/>
        <v>11.544000000000004</v>
      </c>
      <c r="G43" s="37">
        <f t="shared" si="30"/>
        <v>2.4469999999999992</v>
      </c>
      <c r="H43" s="37">
        <f t="shared" si="30"/>
        <v>0.60400000000000065</v>
      </c>
      <c r="I43" s="37">
        <f t="shared" si="30"/>
        <v>8.2870000000000008</v>
      </c>
      <c r="J43" s="37">
        <f t="shared" si="30"/>
        <v>15.538000000000006</v>
      </c>
      <c r="K43" s="37">
        <f t="shared" si="30"/>
        <v>6.0710000000000015</v>
      </c>
      <c r="L43" s="37">
        <f t="shared" si="30"/>
        <v>12.229999999999997</v>
      </c>
      <c r="M43" s="37">
        <f t="shared" si="30"/>
        <v>19.915999999999997</v>
      </c>
      <c r="N43" s="37">
        <f t="shared" si="30"/>
        <v>20.657999999999994</v>
      </c>
      <c r="O43" s="37">
        <f t="shared" si="30"/>
        <v>37.734999999999999</v>
      </c>
      <c r="P43" s="37">
        <f t="shared" si="30"/>
        <v>24.166999999999998</v>
      </c>
      <c r="Q43" s="37">
        <f t="shared" si="30"/>
        <v>16.719000000000001</v>
      </c>
      <c r="R43" s="37">
        <f t="shared" si="30"/>
        <v>22.516999999999996</v>
      </c>
      <c r="S43" s="37">
        <f t="shared" si="30"/>
        <v>27.564999999999998</v>
      </c>
      <c r="T43" s="37">
        <f t="shared" si="30"/>
        <v>31.240000000000002</v>
      </c>
      <c r="U43" s="37">
        <f t="shared" si="30"/>
        <v>43.25800000000001</v>
      </c>
      <c r="V43" s="37">
        <f t="shared" si="30"/>
        <v>44.657000000000011</v>
      </c>
      <c r="W43" s="37">
        <f t="shared" si="30"/>
        <v>75.916999999999987</v>
      </c>
      <c r="X43" s="37">
        <f t="shared" si="30"/>
        <v>62.078000000000003</v>
      </c>
      <c r="Y43" s="37">
        <f t="shared" si="30"/>
        <v>46.413999999999987</v>
      </c>
      <c r="Z43" s="37">
        <f t="shared" si="30"/>
        <v>59.458000000000013</v>
      </c>
      <c r="AA43" s="37">
        <f t="shared" si="30"/>
        <v>76.593312159999982</v>
      </c>
      <c r="AB43" s="37">
        <f t="shared" si="30"/>
        <v>73.685869039999986</v>
      </c>
      <c r="AC43" s="37">
        <f t="shared" si="30"/>
        <v>75.791099898999988</v>
      </c>
      <c r="AD43" s="37">
        <f t="shared" si="30"/>
        <v>80.331779859999997</v>
      </c>
      <c r="AE43" s="37">
        <f t="shared" si="30"/>
        <v>68.813029199999988</v>
      </c>
      <c r="AF43" s="37">
        <f t="shared" si="30"/>
        <v>59.311964540000034</v>
      </c>
      <c r="AG43" s="37">
        <f t="shared" si="30"/>
        <v>61.334463799999988</v>
      </c>
      <c r="AH43" s="37">
        <f t="shared" si="30"/>
        <v>50.03715393649999</v>
      </c>
      <c r="AI43" s="37">
        <f t="shared" si="30"/>
        <v>53.396373594167002</v>
      </c>
      <c r="AJ43" s="37">
        <f t="shared" si="30"/>
        <v>72.051617027500001</v>
      </c>
      <c r="AK43" s="37">
        <f t="shared" si="30"/>
        <v>76.640318430000008</v>
      </c>
      <c r="AL43" s="37">
        <f t="shared" si="30"/>
        <v>77.912210509999994</v>
      </c>
      <c r="AM43" s="37">
        <f t="shared" si="30"/>
        <v>89.085605830000006</v>
      </c>
      <c r="AN43" s="37">
        <f t="shared" si="30"/>
        <v>82.529641489999989</v>
      </c>
      <c r="AO43" s="37">
        <f t="shared" si="30"/>
        <v>73.653012570892997</v>
      </c>
      <c r="AP43" s="37">
        <f t="shared" si="30"/>
        <v>84.934971910000002</v>
      </c>
      <c r="AQ43" s="37">
        <f t="shared" si="30"/>
        <v>106.17196801999998</v>
      </c>
      <c r="AR43" s="37">
        <f t="shared" si="30"/>
        <v>68.396152510000007</v>
      </c>
      <c r="AS43" s="255">
        <f t="shared" si="30"/>
        <v>102.80238674</v>
      </c>
      <c r="AT43" s="39">
        <f t="shared" si="30"/>
        <v>62.301704810000004</v>
      </c>
      <c r="AU43" s="39">
        <f t="shared" si="30"/>
        <v>72.219079000000008</v>
      </c>
      <c r="AV43" s="37">
        <f t="shared" si="30"/>
        <v>48.613596485714027</v>
      </c>
      <c r="AW43" s="37">
        <f t="shared" si="30"/>
        <v>41.619038491425002</v>
      </c>
      <c r="AX43" s="37">
        <f t="shared" si="30"/>
        <v>37.512431083124994</v>
      </c>
      <c r="AY43" s="37">
        <f t="shared" si="30"/>
        <v>53.522999999999996</v>
      </c>
      <c r="AZ43" s="37">
        <f t="shared" si="30"/>
        <v>35.915000000000006</v>
      </c>
      <c r="BA43" s="37">
        <f t="shared" si="30"/>
        <v>72.653639999999996</v>
      </c>
      <c r="BB43" s="37">
        <f t="shared" si="30"/>
        <v>64.221927000000008</v>
      </c>
      <c r="BC43" s="37">
        <f t="shared" si="30"/>
        <v>75.955182590000007</v>
      </c>
      <c r="BD43" s="37">
        <f t="shared" si="30"/>
        <v>66.914705600000005</v>
      </c>
      <c r="BE43" s="37">
        <f t="shared" si="30"/>
        <v>71.17364760000001</v>
      </c>
      <c r="BF43" s="37">
        <f t="shared" si="30"/>
        <v>81.669109910000017</v>
      </c>
      <c r="BG43" s="37">
        <f t="shared" si="30"/>
        <v>115.04901599999999</v>
      </c>
      <c r="BH43" s="37">
        <f t="shared" si="30"/>
        <v>121.68997800000002</v>
      </c>
      <c r="BI43" s="39">
        <f t="shared" si="30"/>
        <v>108.38207399999997</v>
      </c>
      <c r="BJ43" s="37">
        <f t="shared" si="30"/>
        <v>140.70327</v>
      </c>
      <c r="BK43" s="37">
        <f t="shared" si="30"/>
        <v>114.57471827000009</v>
      </c>
      <c r="BL43" s="37">
        <f t="shared" si="30"/>
        <v>111.13084032000016</v>
      </c>
      <c r="BM43" s="37">
        <f t="shared" si="30"/>
        <v>122.17805071000006</v>
      </c>
      <c r="BN43" s="37">
        <f t="shared" si="30"/>
        <v>117.01629278000011</v>
      </c>
      <c r="BO43" s="37">
        <f>SUM(BO39,BO41)</f>
        <v>120.63042404000012</v>
      </c>
      <c r="BP43" s="255">
        <f>SUM(BP39,BP41)</f>
        <v>103.12236954000016</v>
      </c>
      <c r="BQ43" s="37">
        <f>SUM(BQ39,BQ41)</f>
        <v>103.78220621999999</v>
      </c>
      <c r="BR43" s="37">
        <f>SUM(BR39,BR41)</f>
        <v>113.55760096000013</v>
      </c>
      <c r="BS43" s="37">
        <v>119.50700000000001</v>
      </c>
      <c r="BT43" s="37">
        <v>89.92</v>
      </c>
      <c r="BU43" s="37">
        <f>SUM(BU39,BU41)</f>
        <v>132.09602727866138</v>
      </c>
      <c r="BV43" s="37">
        <f t="shared" ref="BV43:CP43" si="31">SUM(BV39,BV41,BV42)</f>
        <v>76.348677884044051</v>
      </c>
      <c r="BW43" s="39">
        <f t="shared" si="31"/>
        <v>99.964189530793163</v>
      </c>
      <c r="BX43" s="39">
        <f t="shared" si="31"/>
        <v>117.45993479834446</v>
      </c>
      <c r="BY43" s="39">
        <f t="shared" si="31"/>
        <v>162.52445735257803</v>
      </c>
      <c r="BZ43" s="37">
        <f t="shared" si="31"/>
        <v>140.06670584183789</v>
      </c>
      <c r="CA43" s="37">
        <f t="shared" si="31"/>
        <v>360.89437325484499</v>
      </c>
      <c r="CB43" s="37">
        <f t="shared" si="31"/>
        <v>333.19402952907319</v>
      </c>
      <c r="CC43" s="37">
        <f t="shared" si="31"/>
        <v>396.46016503593864</v>
      </c>
      <c r="CD43" s="37">
        <f t="shared" si="31"/>
        <v>485.93896263828577</v>
      </c>
      <c r="CE43" s="37">
        <f t="shared" si="31"/>
        <v>755.74178996512569</v>
      </c>
      <c r="CF43" s="37">
        <f t="shared" si="31"/>
        <v>536.3504302824465</v>
      </c>
      <c r="CG43" s="37">
        <f t="shared" si="31"/>
        <v>573.95012338728077</v>
      </c>
      <c r="CH43" s="37">
        <f t="shared" si="31"/>
        <v>571.13981180182157</v>
      </c>
      <c r="CI43" s="37">
        <f t="shared" si="31"/>
        <v>520.90273564044423</v>
      </c>
      <c r="CJ43" s="37">
        <f t="shared" si="31"/>
        <v>344.52546840831656</v>
      </c>
      <c r="CK43" s="37">
        <f t="shared" si="31"/>
        <v>502.08061297191983</v>
      </c>
      <c r="CL43" s="37">
        <f t="shared" si="31"/>
        <v>572.73968486191995</v>
      </c>
      <c r="CM43" s="37">
        <f t="shared" si="31"/>
        <v>578.61319721442055</v>
      </c>
      <c r="CN43" s="37">
        <f t="shared" si="31"/>
        <v>546.02686987442166</v>
      </c>
      <c r="CO43" s="37">
        <f t="shared" si="31"/>
        <v>587.93540789441965</v>
      </c>
      <c r="CP43" s="37">
        <f t="shared" si="31"/>
        <v>579.63820514442023</v>
      </c>
      <c r="CQ43" s="37">
        <f>SUM(CQ39,CQ41,CQ42)</f>
        <v>646.99077485000055</v>
      </c>
      <c r="CR43" s="37">
        <f>SUM(CR39,CR41,CR42)</f>
        <v>587.73908174250528</v>
      </c>
      <c r="CS43" s="37">
        <f>SUM(CS39,CS41,CS42)</f>
        <v>658.05773236000027</v>
      </c>
      <c r="CT43" s="37">
        <f>SUM(CT39,CT41,CT42)</f>
        <v>727.90267566000057</v>
      </c>
      <c r="CU43" s="363">
        <f>SUM(CU39,CU41,CU42)</f>
        <v>818.07981383000276</v>
      </c>
    </row>
    <row r="44" spans="1:101" s="189" customFormat="1" x14ac:dyDescent="0.2">
      <c r="A44" s="152" t="s">
        <v>145</v>
      </c>
      <c r="B44" s="260"/>
      <c r="C44" s="153">
        <f t="shared" ref="C44:BN44" si="32">+C31+C37+C41+C42</f>
        <v>-0.96929999999999694</v>
      </c>
      <c r="D44" s="153">
        <f t="shared" si="32"/>
        <v>-2.1630000000000003</v>
      </c>
      <c r="E44" s="153">
        <f t="shared" si="32"/>
        <v>0.9809999999999981</v>
      </c>
      <c r="F44" s="153">
        <f t="shared" si="32"/>
        <v>11.544000000000004</v>
      </c>
      <c r="G44" s="153">
        <f t="shared" si="32"/>
        <v>2.4469999999999992</v>
      </c>
      <c r="H44" s="153">
        <f t="shared" si="32"/>
        <v>0.60400000000000065</v>
      </c>
      <c r="I44" s="153">
        <f t="shared" si="32"/>
        <v>8.2870000000000008</v>
      </c>
      <c r="J44" s="153">
        <f t="shared" si="32"/>
        <v>15.538000000000006</v>
      </c>
      <c r="K44" s="153">
        <f t="shared" si="32"/>
        <v>6.0710000000000015</v>
      </c>
      <c r="L44" s="153">
        <f t="shared" si="32"/>
        <v>12.229999999999997</v>
      </c>
      <c r="M44" s="153">
        <f t="shared" si="32"/>
        <v>19.915999999999997</v>
      </c>
      <c r="N44" s="153">
        <f t="shared" si="32"/>
        <v>20.657999999999994</v>
      </c>
      <c r="O44" s="153">
        <f t="shared" si="32"/>
        <v>37.734999999999999</v>
      </c>
      <c r="P44" s="153">
        <f t="shared" si="32"/>
        <v>24.166999999999998</v>
      </c>
      <c r="Q44" s="153">
        <f t="shared" si="32"/>
        <v>16.719000000000001</v>
      </c>
      <c r="R44" s="153">
        <f t="shared" si="32"/>
        <v>22.516999999999996</v>
      </c>
      <c r="S44" s="153">
        <f t="shared" si="32"/>
        <v>27.564999999999998</v>
      </c>
      <c r="T44" s="153">
        <f t="shared" si="32"/>
        <v>31.240000000000002</v>
      </c>
      <c r="U44" s="153">
        <f t="shared" si="32"/>
        <v>43.25800000000001</v>
      </c>
      <c r="V44" s="153">
        <f t="shared" si="32"/>
        <v>44.657000000000011</v>
      </c>
      <c r="W44" s="153">
        <f t="shared" si="32"/>
        <v>75.916999999999987</v>
      </c>
      <c r="X44" s="153">
        <f t="shared" si="32"/>
        <v>62.078000000000003</v>
      </c>
      <c r="Y44" s="153">
        <f t="shared" si="32"/>
        <v>46.413999999999987</v>
      </c>
      <c r="Z44" s="153">
        <f t="shared" si="32"/>
        <v>59.458000000000013</v>
      </c>
      <c r="AA44" s="153">
        <f t="shared" si="32"/>
        <v>76.593312159999982</v>
      </c>
      <c r="AB44" s="153">
        <f t="shared" si="32"/>
        <v>73.685869039999986</v>
      </c>
      <c r="AC44" s="261">
        <f t="shared" si="32"/>
        <v>75.791099898999988</v>
      </c>
      <c r="AD44" s="261">
        <f t="shared" si="32"/>
        <v>80.331779859999997</v>
      </c>
      <c r="AE44" s="261">
        <f t="shared" si="32"/>
        <v>68.813029199999988</v>
      </c>
      <c r="AF44" s="261">
        <f t="shared" si="32"/>
        <v>59.311964540000034</v>
      </c>
      <c r="AG44" s="261">
        <f t="shared" si="32"/>
        <v>61.334463799999988</v>
      </c>
      <c r="AH44" s="261">
        <f t="shared" si="32"/>
        <v>50.03715393649999</v>
      </c>
      <c r="AI44" s="261">
        <f t="shared" si="32"/>
        <v>53.396373594167002</v>
      </c>
      <c r="AJ44" s="153">
        <f t="shared" si="32"/>
        <v>72.051617027500001</v>
      </c>
      <c r="AK44" s="154">
        <f t="shared" si="32"/>
        <v>76.640318430000008</v>
      </c>
      <c r="AL44" s="153">
        <f t="shared" si="32"/>
        <v>77.912210509999994</v>
      </c>
      <c r="AM44" s="261">
        <f t="shared" si="32"/>
        <v>89.085605830000006</v>
      </c>
      <c r="AN44" s="153">
        <f t="shared" si="32"/>
        <v>82.529641489999989</v>
      </c>
      <c r="AO44" s="153">
        <f t="shared" si="32"/>
        <v>73.653012570892997</v>
      </c>
      <c r="AP44" s="153">
        <f t="shared" si="32"/>
        <v>84.934971910000002</v>
      </c>
      <c r="AQ44" s="153">
        <f t="shared" si="32"/>
        <v>106.17196801999998</v>
      </c>
      <c r="AR44" s="153">
        <f t="shared" si="32"/>
        <v>68.396152510000007</v>
      </c>
      <c r="AS44" s="154">
        <f t="shared" si="32"/>
        <v>102.80238674</v>
      </c>
      <c r="AT44" s="261">
        <f t="shared" si="32"/>
        <v>62.301704810000004</v>
      </c>
      <c r="AU44" s="261">
        <f t="shared" si="32"/>
        <v>72.219079000000008</v>
      </c>
      <c r="AV44" s="153">
        <f t="shared" si="32"/>
        <v>48.613596485714027</v>
      </c>
      <c r="AW44" s="153">
        <f t="shared" si="32"/>
        <v>41.619038491425002</v>
      </c>
      <c r="AX44" s="153">
        <f t="shared" si="32"/>
        <v>37.512431083124994</v>
      </c>
      <c r="AY44" s="153">
        <f t="shared" si="32"/>
        <v>53.522999999999996</v>
      </c>
      <c r="AZ44" s="153">
        <f t="shared" si="32"/>
        <v>35.915000000000006</v>
      </c>
      <c r="BA44" s="153">
        <f t="shared" si="32"/>
        <v>72.653639999999996</v>
      </c>
      <c r="BB44" s="153">
        <f t="shared" si="32"/>
        <v>64.221927000000008</v>
      </c>
      <c r="BC44" s="153">
        <f t="shared" si="32"/>
        <v>75.955182590000007</v>
      </c>
      <c r="BD44" s="153">
        <f t="shared" si="32"/>
        <v>66.914705600000005</v>
      </c>
      <c r="BE44" s="153">
        <f t="shared" si="32"/>
        <v>71.17364760000001</v>
      </c>
      <c r="BF44" s="153">
        <f t="shared" si="32"/>
        <v>81.669109910000017</v>
      </c>
      <c r="BG44" s="153">
        <f t="shared" si="32"/>
        <v>115.04901599999999</v>
      </c>
      <c r="BH44" s="153">
        <f t="shared" si="32"/>
        <v>121.68997800000002</v>
      </c>
      <c r="BI44" s="261">
        <f t="shared" si="32"/>
        <v>108.38207399999997</v>
      </c>
      <c r="BJ44" s="153">
        <f t="shared" si="32"/>
        <v>140.70327</v>
      </c>
      <c r="BK44" s="153">
        <f t="shared" si="32"/>
        <v>114.57471827000009</v>
      </c>
      <c r="BL44" s="153">
        <f t="shared" si="32"/>
        <v>111.13084032000016</v>
      </c>
      <c r="BM44" s="153">
        <f t="shared" si="32"/>
        <v>122.17805071000006</v>
      </c>
      <c r="BN44" s="153">
        <f t="shared" si="32"/>
        <v>117.01629278000011</v>
      </c>
      <c r="BO44" s="153">
        <f t="shared" ref="BO44:BU44" si="33">+BO31+BO37+BO41+BO42</f>
        <v>120.63042404000012</v>
      </c>
      <c r="BP44" s="154">
        <f t="shared" si="33"/>
        <v>103.12236954000016</v>
      </c>
      <c r="BQ44" s="153">
        <f t="shared" si="33"/>
        <v>103.78220621999999</v>
      </c>
      <c r="BR44" s="154">
        <f t="shared" si="33"/>
        <v>113.55760096000013</v>
      </c>
      <c r="BS44" s="153">
        <f t="shared" si="33"/>
        <v>119.50860383000011</v>
      </c>
      <c r="BT44" s="153">
        <f t="shared" si="33"/>
        <v>89.922872050000009</v>
      </c>
      <c r="BU44" s="153">
        <f t="shared" si="33"/>
        <v>132.09602727866138</v>
      </c>
      <c r="BV44" s="153">
        <f>+BV31+(BV37+35)+BV41+BV42</f>
        <v>111.34867788404405</v>
      </c>
      <c r="BW44" s="261">
        <f>+BW31+BW37+BW41+BW42</f>
        <v>99.964189530793163</v>
      </c>
      <c r="BX44" s="261">
        <f>+BX31+BX37+BX41+BX42</f>
        <v>117.45993479834446</v>
      </c>
      <c r="BY44" s="261">
        <f>+BY31+BY37+BY41+BY42</f>
        <v>162.52445735257803</v>
      </c>
      <c r="BZ44" s="153">
        <f>+BZ31+(BZ37+8.3)+BZ41+BZ42</f>
        <v>148.3667058418379</v>
      </c>
      <c r="CA44" s="153">
        <f>+CA31+CA37+CA41+CA42</f>
        <v>360.89437325484499</v>
      </c>
      <c r="CB44" s="153">
        <f>+CB31+CB37+CB41+CB42</f>
        <v>333.19402952907319</v>
      </c>
      <c r="CC44" s="153">
        <f>+CC31+(CC37+13)+CC41+CC42</f>
        <v>409.46016503593864</v>
      </c>
      <c r="CD44" s="153">
        <f>+(CD31-63)+(CD37+16)+CD41+CD42</f>
        <v>438.93896263828577</v>
      </c>
      <c r="CE44" s="153">
        <f>+CE31+(CE37-10)+CE41+CE42</f>
        <v>745.74178996512569</v>
      </c>
      <c r="CF44" s="153">
        <f t="shared" ref="CF44:CP44" si="34">+CF31+(CF37)+CF41+CF42</f>
        <v>536.3504302824465</v>
      </c>
      <c r="CG44" s="153">
        <f t="shared" si="34"/>
        <v>573.95012338728077</v>
      </c>
      <c r="CH44" s="153">
        <f t="shared" si="34"/>
        <v>571.13981180182157</v>
      </c>
      <c r="CI44" s="153">
        <f t="shared" si="34"/>
        <v>520.90273564044423</v>
      </c>
      <c r="CJ44" s="153">
        <f t="shared" si="34"/>
        <v>344.52546840831656</v>
      </c>
      <c r="CK44" s="153">
        <f t="shared" si="34"/>
        <v>502.08061297191983</v>
      </c>
      <c r="CL44" s="153">
        <f t="shared" si="34"/>
        <v>572.73968486191995</v>
      </c>
      <c r="CM44" s="153">
        <f t="shared" si="34"/>
        <v>578.61319721442055</v>
      </c>
      <c r="CN44" s="153">
        <f t="shared" si="34"/>
        <v>546.02686987442166</v>
      </c>
      <c r="CO44" s="153">
        <f t="shared" si="34"/>
        <v>587.93540789441965</v>
      </c>
      <c r="CP44" s="153">
        <f t="shared" si="34"/>
        <v>579.63820514442023</v>
      </c>
      <c r="CQ44" s="153">
        <f>+CQ31+(CQ37)+CQ41+CQ42</f>
        <v>646.99077485000055</v>
      </c>
      <c r="CR44" s="153">
        <f>+(CR31+15.3)+(CR37+15)+CR41+CR42</f>
        <v>618.03908174250523</v>
      </c>
      <c r="CS44" s="153">
        <f>+(CS31+10.5)+(CS37+10.7)+CS41+CS42</f>
        <v>679.2577323600002</v>
      </c>
      <c r="CT44" s="153">
        <f>+(CT31+2.7)+(CT37)+CT41+CT42</f>
        <v>730.60267566000061</v>
      </c>
      <c r="CU44" s="401">
        <f>+(CU31)+(CU37)+CU41+CU42</f>
        <v>818.07981383000276</v>
      </c>
      <c r="CV44" s="369"/>
      <c r="CW44" s="371"/>
    </row>
    <row r="45" spans="1:101" s="188" customFormat="1" ht="14.45" customHeight="1" x14ac:dyDescent="0.2">
      <c r="A45" s="36"/>
      <c r="B45" s="254"/>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9"/>
      <c r="AD45" s="39"/>
      <c r="AE45" s="39"/>
      <c r="AF45" s="39"/>
      <c r="AG45" s="39"/>
      <c r="AH45" s="39"/>
      <c r="AI45" s="39"/>
      <c r="AJ45" s="37"/>
      <c r="AK45" s="255"/>
      <c r="AL45" s="37"/>
      <c r="AM45" s="39"/>
      <c r="AN45" s="37"/>
      <c r="AO45" s="37"/>
      <c r="AP45" s="37"/>
      <c r="AQ45" s="37"/>
      <c r="AR45" s="37"/>
      <c r="AS45" s="255"/>
      <c r="AT45" s="39"/>
      <c r="AU45" s="39"/>
      <c r="AV45" s="37"/>
      <c r="AW45" s="37"/>
      <c r="AX45" s="37"/>
      <c r="AY45" s="37"/>
      <c r="AZ45" s="37"/>
      <c r="BA45" s="37"/>
      <c r="BB45" s="37"/>
      <c r="BC45" s="37"/>
      <c r="BD45" s="37"/>
      <c r="BE45" s="37"/>
      <c r="BF45" s="37"/>
      <c r="BG45" s="37"/>
      <c r="BH45" s="37"/>
      <c r="BI45" s="15"/>
      <c r="BJ45" s="14"/>
      <c r="BK45" s="14"/>
      <c r="BL45" s="14"/>
      <c r="BM45" s="14"/>
      <c r="BN45" s="14"/>
      <c r="BO45" s="14"/>
      <c r="BP45" s="4"/>
      <c r="BQ45" s="14"/>
      <c r="BR45" s="4"/>
      <c r="BS45" s="14"/>
      <c r="BT45" s="14"/>
      <c r="BU45" s="14"/>
      <c r="BV45" s="14"/>
      <c r="BW45" s="15"/>
      <c r="BX45" s="15"/>
      <c r="BY45" s="15"/>
      <c r="BZ45" s="14"/>
      <c r="CA45" s="14"/>
      <c r="CB45" s="14"/>
      <c r="CC45" s="14"/>
      <c r="CD45" s="14"/>
      <c r="CE45" s="14"/>
      <c r="CF45" s="14"/>
      <c r="CG45" s="14"/>
      <c r="CH45" s="14"/>
      <c r="CI45" s="14"/>
      <c r="CJ45" s="14"/>
      <c r="CK45" s="14"/>
      <c r="CL45" s="14"/>
      <c r="CM45" s="14"/>
      <c r="CN45" s="14"/>
      <c r="CO45" s="14"/>
      <c r="CP45" s="14"/>
      <c r="CQ45" s="14"/>
      <c r="CR45" s="14"/>
      <c r="CS45" s="14"/>
      <c r="CT45" s="14"/>
      <c r="CU45" s="361"/>
    </row>
    <row r="46" spans="1:101" x14ac:dyDescent="0.2">
      <c r="A46" s="44" t="s">
        <v>146</v>
      </c>
      <c r="B46" s="251"/>
      <c r="C46" s="35">
        <f t="shared" ref="C46:R46" si="35">-C43*0.28</f>
        <v>0.27140399999999915</v>
      </c>
      <c r="D46" s="35">
        <f t="shared" si="35"/>
        <v>0.60564000000000018</v>
      </c>
      <c r="E46" s="35">
        <f t="shared" si="35"/>
        <v>-0.27467999999999948</v>
      </c>
      <c r="F46" s="35">
        <f t="shared" si="35"/>
        <v>-3.2323200000000014</v>
      </c>
      <c r="G46" s="35">
        <f t="shared" si="35"/>
        <v>-0.68515999999999988</v>
      </c>
      <c r="H46" s="35">
        <f t="shared" si="35"/>
        <v>-0.16912000000000019</v>
      </c>
      <c r="I46" s="35">
        <f t="shared" si="35"/>
        <v>-2.3203600000000004</v>
      </c>
      <c r="J46" s="35">
        <f t="shared" si="35"/>
        <v>-4.3506400000000021</v>
      </c>
      <c r="K46" s="35">
        <f t="shared" si="35"/>
        <v>-1.6998800000000005</v>
      </c>
      <c r="L46" s="35">
        <f t="shared" si="35"/>
        <v>-3.4243999999999994</v>
      </c>
      <c r="M46" s="35">
        <f t="shared" si="35"/>
        <v>-5.5764799999999992</v>
      </c>
      <c r="N46" s="35">
        <f t="shared" si="35"/>
        <v>-5.7842399999999987</v>
      </c>
      <c r="O46" s="35">
        <f t="shared" si="35"/>
        <v>-10.565800000000001</v>
      </c>
      <c r="P46" s="35">
        <f t="shared" si="35"/>
        <v>-6.7667599999999997</v>
      </c>
      <c r="Q46" s="35">
        <f t="shared" si="35"/>
        <v>-4.6813200000000004</v>
      </c>
      <c r="R46" s="35">
        <f t="shared" si="35"/>
        <v>-6.304759999999999</v>
      </c>
      <c r="S46" s="35">
        <v>-7.7649999999999997</v>
      </c>
      <c r="T46" s="35">
        <v>-9.1519999999999992</v>
      </c>
      <c r="U46" s="35">
        <v>-11.677</v>
      </c>
      <c r="V46" s="35">
        <v>-12.166</v>
      </c>
      <c r="W46" s="35">
        <v>-20.8</v>
      </c>
      <c r="X46" s="35">
        <v>-16.8</v>
      </c>
      <c r="Y46" s="35">
        <v>-12.7</v>
      </c>
      <c r="Z46" s="35">
        <v>-5.5</v>
      </c>
      <c r="AA46" s="35">
        <v>-20.5</v>
      </c>
      <c r="AB46" s="35">
        <v>-19</v>
      </c>
      <c r="AC46" s="45">
        <v>-19</v>
      </c>
      <c r="AD46" s="45">
        <v>-15.9</v>
      </c>
      <c r="AE46" s="45">
        <v>-16</v>
      </c>
      <c r="AF46" s="45">
        <v>-14</v>
      </c>
      <c r="AG46" s="45">
        <v>-13</v>
      </c>
      <c r="AH46" s="45">
        <v>-11</v>
      </c>
      <c r="AI46" s="45">
        <v>-8.8000000000000007</v>
      </c>
      <c r="AJ46" s="35">
        <v>-12</v>
      </c>
      <c r="AK46" s="252">
        <v>-17</v>
      </c>
      <c r="AL46" s="35">
        <v>-14</v>
      </c>
      <c r="AM46" s="45">
        <v>-16</v>
      </c>
      <c r="AN46" s="35">
        <v>-15</v>
      </c>
      <c r="AO46" s="35">
        <v>-13</v>
      </c>
      <c r="AP46" s="35">
        <v>-16</v>
      </c>
      <c r="AQ46" s="35">
        <v>-17</v>
      </c>
      <c r="AR46" s="35">
        <v>-11</v>
      </c>
      <c r="AS46" s="252">
        <v>-15</v>
      </c>
      <c r="AT46" s="45">
        <v>-7</v>
      </c>
      <c r="AU46" s="45">
        <v>-12</v>
      </c>
      <c r="AV46" s="35">
        <v>-10</v>
      </c>
      <c r="AW46" s="35">
        <v>-10</v>
      </c>
      <c r="AX46" s="35">
        <v>-8</v>
      </c>
      <c r="AY46" s="35">
        <v>-9</v>
      </c>
      <c r="AZ46" s="35">
        <v>-3</v>
      </c>
      <c r="BA46" s="35">
        <v>-11</v>
      </c>
      <c r="BB46" s="35">
        <v>-10</v>
      </c>
      <c r="BC46" s="35">
        <v>-10.7</v>
      </c>
      <c r="BD46" s="35">
        <v>-11.43</v>
      </c>
      <c r="BE46" s="35">
        <v>-10.6</v>
      </c>
      <c r="BF46" s="35">
        <v>-13.4</v>
      </c>
      <c r="BG46" s="35">
        <v>-16</v>
      </c>
      <c r="BH46" s="35">
        <v>-17</v>
      </c>
      <c r="BI46" s="35">
        <v>-14.7</v>
      </c>
      <c r="BJ46" s="253">
        <v>-22</v>
      </c>
      <c r="BK46" s="253">
        <v>-16</v>
      </c>
      <c r="BL46" s="253">
        <v>-17</v>
      </c>
      <c r="BM46" s="253">
        <v>-17</v>
      </c>
      <c r="BN46" s="35">
        <v>-16</v>
      </c>
      <c r="BO46" s="35">
        <v>-17.399999999999999</v>
      </c>
      <c r="BP46" s="252">
        <v>-14.6</v>
      </c>
      <c r="BQ46" s="35">
        <v>-15.048</v>
      </c>
      <c r="BR46" s="252">
        <v>-15.504</v>
      </c>
      <c r="BS46" s="35">
        <v>-15.88</v>
      </c>
      <c r="BT46" s="35">
        <v>-10.694000000000001</v>
      </c>
      <c r="BU46" s="35">
        <v>-25.759</v>
      </c>
      <c r="BV46" s="35">
        <v>-16.463508829999999</v>
      </c>
      <c r="BW46" s="45">
        <v>-12.955755999999999</v>
      </c>
      <c r="BX46" s="45">
        <v>-16.35974903</v>
      </c>
      <c r="BY46" s="45">
        <v>-24.768516339999998</v>
      </c>
      <c r="BZ46" s="35">
        <v>-18.999080660000001</v>
      </c>
      <c r="CA46" s="35">
        <v>-56.157025950000005</v>
      </c>
      <c r="CB46" s="35">
        <v>-52.473214210000002</v>
      </c>
      <c r="CC46" s="35">
        <v>-65.333903609999993</v>
      </c>
      <c r="CD46" s="35">
        <v>-67.920333169999978</v>
      </c>
      <c r="CE46" s="35">
        <v>-124.05572120999999</v>
      </c>
      <c r="CF46" s="35">
        <v>-85.719240070000012</v>
      </c>
      <c r="CG46" s="35">
        <v>-92.891952829999994</v>
      </c>
      <c r="CH46" s="35">
        <v>-87.810653689999896</v>
      </c>
      <c r="CI46" s="35">
        <v>-78.052839210000002</v>
      </c>
      <c r="CJ46" s="35">
        <v>-48.809727189999997</v>
      </c>
      <c r="CK46" s="35">
        <v>-68.854471800000027</v>
      </c>
      <c r="CL46" s="35">
        <v>-78.264950310000017</v>
      </c>
      <c r="CM46" s="35">
        <v>-78.096983590000008</v>
      </c>
      <c r="CN46" s="35">
        <v>-73.61085014999999</v>
      </c>
      <c r="CO46" s="35">
        <v>-77.895653940000017</v>
      </c>
      <c r="CP46" s="35">
        <v>-80.492679809999984</v>
      </c>
      <c r="CQ46" s="35">
        <v>-92.447237110000003</v>
      </c>
      <c r="CR46" s="35">
        <v>-81.64771026999999</v>
      </c>
      <c r="CS46" s="35">
        <v>-89.781649630000004</v>
      </c>
      <c r="CT46" s="35">
        <v>-102.91773241999999</v>
      </c>
      <c r="CU46" s="403">
        <v>-110.82324844999999</v>
      </c>
    </row>
    <row r="47" spans="1:101" s="188" customFormat="1" x14ac:dyDescent="0.2">
      <c r="A47" s="5" t="s">
        <v>149</v>
      </c>
      <c r="B47" s="240"/>
      <c r="C47" s="38">
        <f t="shared" ref="C47:BN47" si="36">+C43+C46</f>
        <v>-0.69789599999999785</v>
      </c>
      <c r="D47" s="38">
        <f t="shared" si="36"/>
        <v>-1.5573600000000001</v>
      </c>
      <c r="E47" s="38">
        <f t="shared" si="36"/>
        <v>0.70631999999999862</v>
      </c>
      <c r="F47" s="38">
        <f t="shared" si="36"/>
        <v>8.3116800000000026</v>
      </c>
      <c r="G47" s="38">
        <f t="shared" si="36"/>
        <v>1.7618399999999994</v>
      </c>
      <c r="H47" s="38">
        <f t="shared" si="36"/>
        <v>0.43488000000000049</v>
      </c>
      <c r="I47" s="38">
        <f t="shared" si="36"/>
        <v>5.9666399999999999</v>
      </c>
      <c r="J47" s="38">
        <f t="shared" si="36"/>
        <v>11.187360000000004</v>
      </c>
      <c r="K47" s="38">
        <f t="shared" si="36"/>
        <v>4.3711200000000012</v>
      </c>
      <c r="L47" s="38">
        <f t="shared" si="36"/>
        <v>8.8055999999999983</v>
      </c>
      <c r="M47" s="38">
        <f t="shared" si="36"/>
        <v>14.339519999999997</v>
      </c>
      <c r="N47" s="38">
        <f t="shared" si="36"/>
        <v>14.873759999999995</v>
      </c>
      <c r="O47" s="38">
        <f t="shared" si="36"/>
        <v>27.169199999999996</v>
      </c>
      <c r="P47" s="38">
        <f t="shared" si="36"/>
        <v>17.400239999999997</v>
      </c>
      <c r="Q47" s="38">
        <f t="shared" si="36"/>
        <v>12.037680000000002</v>
      </c>
      <c r="R47" s="38">
        <f t="shared" si="36"/>
        <v>16.212239999999998</v>
      </c>
      <c r="S47" s="38">
        <f t="shared" si="36"/>
        <v>19.799999999999997</v>
      </c>
      <c r="T47" s="38">
        <f t="shared" si="36"/>
        <v>22.088000000000001</v>
      </c>
      <c r="U47" s="38">
        <f t="shared" si="36"/>
        <v>31.58100000000001</v>
      </c>
      <c r="V47" s="38">
        <f t="shared" si="36"/>
        <v>32.491000000000014</v>
      </c>
      <c r="W47" s="38">
        <f t="shared" si="36"/>
        <v>55.11699999999999</v>
      </c>
      <c r="X47" s="38">
        <f t="shared" si="36"/>
        <v>45.278000000000006</v>
      </c>
      <c r="Y47" s="38">
        <f t="shared" si="36"/>
        <v>33.713999999999984</v>
      </c>
      <c r="Z47" s="38">
        <f t="shared" si="36"/>
        <v>53.958000000000013</v>
      </c>
      <c r="AA47" s="38">
        <f t="shared" si="36"/>
        <v>56.093312159999982</v>
      </c>
      <c r="AB47" s="38">
        <f t="shared" si="36"/>
        <v>54.685869039999986</v>
      </c>
      <c r="AC47" s="256">
        <f t="shared" si="36"/>
        <v>56.791099898999988</v>
      </c>
      <c r="AD47" s="257">
        <f t="shared" si="36"/>
        <v>64.431779859999992</v>
      </c>
      <c r="AE47" s="257">
        <f t="shared" si="36"/>
        <v>52.813029199999988</v>
      </c>
      <c r="AF47" s="257">
        <f t="shared" si="36"/>
        <v>45.311964540000034</v>
      </c>
      <c r="AG47" s="257">
        <f t="shared" si="36"/>
        <v>48.334463799999988</v>
      </c>
      <c r="AH47" s="257">
        <f t="shared" si="36"/>
        <v>39.03715393649999</v>
      </c>
      <c r="AI47" s="257">
        <f t="shared" si="36"/>
        <v>44.596373594167005</v>
      </c>
      <c r="AJ47" s="38">
        <f t="shared" si="36"/>
        <v>60.051617027500001</v>
      </c>
      <c r="AK47" s="257">
        <f t="shared" si="36"/>
        <v>59.640318430000008</v>
      </c>
      <c r="AL47" s="38">
        <f t="shared" si="36"/>
        <v>63.912210509999994</v>
      </c>
      <c r="AM47" s="257">
        <f t="shared" si="36"/>
        <v>73.085605830000006</v>
      </c>
      <c r="AN47" s="38">
        <f t="shared" si="36"/>
        <v>67.529641489999989</v>
      </c>
      <c r="AO47" s="38">
        <f t="shared" si="36"/>
        <v>60.653012570892997</v>
      </c>
      <c r="AP47" s="38">
        <f t="shared" si="36"/>
        <v>68.934971910000002</v>
      </c>
      <c r="AQ47" s="38">
        <f t="shared" si="36"/>
        <v>89.17196801999998</v>
      </c>
      <c r="AR47" s="38">
        <f t="shared" si="36"/>
        <v>57.396152510000007</v>
      </c>
      <c r="AS47" s="256">
        <f t="shared" si="36"/>
        <v>87.802386740000003</v>
      </c>
      <c r="AT47" s="257">
        <f t="shared" si="36"/>
        <v>55.301704810000004</v>
      </c>
      <c r="AU47" s="257">
        <f t="shared" si="36"/>
        <v>60.219079000000008</v>
      </c>
      <c r="AV47" s="38">
        <f t="shared" si="36"/>
        <v>38.613596485714027</v>
      </c>
      <c r="AW47" s="38">
        <f t="shared" si="36"/>
        <v>31.619038491425002</v>
      </c>
      <c r="AX47" s="38">
        <f t="shared" si="36"/>
        <v>29.512431083124994</v>
      </c>
      <c r="AY47" s="38">
        <f t="shared" si="36"/>
        <v>44.522999999999996</v>
      </c>
      <c r="AZ47" s="38">
        <f t="shared" si="36"/>
        <v>32.915000000000006</v>
      </c>
      <c r="BA47" s="38">
        <f t="shared" si="36"/>
        <v>61.653639999999996</v>
      </c>
      <c r="BB47" s="38">
        <f t="shared" si="36"/>
        <v>54.221927000000008</v>
      </c>
      <c r="BC47" s="38">
        <f t="shared" si="36"/>
        <v>65.255182590000004</v>
      </c>
      <c r="BD47" s="38">
        <f t="shared" si="36"/>
        <v>55.484705600000005</v>
      </c>
      <c r="BE47" s="38">
        <f t="shared" si="36"/>
        <v>60.573647600000008</v>
      </c>
      <c r="BF47" s="38">
        <f t="shared" si="36"/>
        <v>68.269109910000012</v>
      </c>
      <c r="BG47" s="38">
        <f t="shared" si="36"/>
        <v>99.049015999999995</v>
      </c>
      <c r="BH47" s="38">
        <f t="shared" si="36"/>
        <v>104.68997800000002</v>
      </c>
      <c r="BI47" s="257">
        <f t="shared" si="36"/>
        <v>93.682073999999972</v>
      </c>
      <c r="BJ47" s="38">
        <f t="shared" si="36"/>
        <v>118.70327</v>
      </c>
      <c r="BK47" s="38">
        <f t="shared" si="36"/>
        <v>98.574718270000091</v>
      </c>
      <c r="BL47" s="38">
        <f t="shared" si="36"/>
        <v>94.130840320000161</v>
      </c>
      <c r="BM47" s="38">
        <f t="shared" si="36"/>
        <v>105.17805071000006</v>
      </c>
      <c r="BN47" s="38">
        <f t="shared" si="36"/>
        <v>101.01629278000011</v>
      </c>
      <c r="BO47" s="38">
        <f t="shared" ref="BO47:CN47" si="37">+BO43+BO46</f>
        <v>103.23042404000012</v>
      </c>
      <c r="BP47" s="256">
        <f t="shared" si="37"/>
        <v>88.52236954000017</v>
      </c>
      <c r="BQ47" s="38">
        <f t="shared" si="37"/>
        <v>88.73420621999999</v>
      </c>
      <c r="BR47" s="38">
        <f t="shared" si="37"/>
        <v>98.053600960000125</v>
      </c>
      <c r="BS47" s="38">
        <f t="shared" si="37"/>
        <v>103.62700000000001</v>
      </c>
      <c r="BT47" s="38">
        <f t="shared" si="37"/>
        <v>79.225999999999999</v>
      </c>
      <c r="BU47" s="38">
        <f t="shared" si="37"/>
        <v>106.33702727866138</v>
      </c>
      <c r="BV47" s="38">
        <f t="shared" si="37"/>
        <v>59.885169054044056</v>
      </c>
      <c r="BW47" s="257">
        <f t="shared" si="37"/>
        <v>87.00843353079317</v>
      </c>
      <c r="BX47" s="257">
        <f t="shared" si="37"/>
        <v>101.10018576834446</v>
      </c>
      <c r="BY47" s="257">
        <f t="shared" si="37"/>
        <v>137.75594101257803</v>
      </c>
      <c r="BZ47" s="38">
        <f t="shared" si="37"/>
        <v>121.06762518183788</v>
      </c>
      <c r="CA47" s="38">
        <f t="shared" si="37"/>
        <v>304.737347304845</v>
      </c>
      <c r="CB47" s="38">
        <f t="shared" si="37"/>
        <v>280.72081531907321</v>
      </c>
      <c r="CC47" s="38">
        <f t="shared" si="37"/>
        <v>331.12626142593865</v>
      </c>
      <c r="CD47" s="38">
        <f t="shared" si="37"/>
        <v>418.01862946828578</v>
      </c>
      <c r="CE47" s="38">
        <f t="shared" si="37"/>
        <v>631.68606875512569</v>
      </c>
      <c r="CF47" s="38">
        <f t="shared" si="37"/>
        <v>450.63119021244648</v>
      </c>
      <c r="CG47" s="38">
        <f t="shared" si="37"/>
        <v>481.05817055728079</v>
      </c>
      <c r="CH47" s="38">
        <f t="shared" si="37"/>
        <v>483.3291581118217</v>
      </c>
      <c r="CI47" s="38">
        <f t="shared" si="37"/>
        <v>442.84989643044423</v>
      </c>
      <c r="CJ47" s="38">
        <f t="shared" si="37"/>
        <v>295.71574121831657</v>
      </c>
      <c r="CK47" s="38">
        <f t="shared" si="37"/>
        <v>433.22614117191983</v>
      </c>
      <c r="CL47" s="38">
        <f t="shared" si="37"/>
        <v>494.47473455191994</v>
      </c>
      <c r="CM47" s="38">
        <f t="shared" si="37"/>
        <v>500.51621362442052</v>
      </c>
      <c r="CN47" s="38">
        <f t="shared" si="37"/>
        <v>472.41601972442169</v>
      </c>
      <c r="CO47" s="38">
        <f t="shared" ref="CO47:CT47" si="38">+CO43+CO46</f>
        <v>510.03975395441967</v>
      </c>
      <c r="CP47" s="38">
        <f t="shared" si="38"/>
        <v>499.14552533442026</v>
      </c>
      <c r="CQ47" s="38">
        <f t="shared" si="38"/>
        <v>554.5435377400006</v>
      </c>
      <c r="CR47" s="38">
        <f t="shared" si="38"/>
        <v>506.09137147250527</v>
      </c>
      <c r="CS47" s="38">
        <f t="shared" si="38"/>
        <v>568.27608273000033</v>
      </c>
      <c r="CT47" s="38">
        <f t="shared" si="38"/>
        <v>624.98494324000058</v>
      </c>
      <c r="CU47" s="375">
        <f t="shared" ref="CU47" si="39">+CU43+CU46</f>
        <v>707.25656538000271</v>
      </c>
    </row>
    <row r="48" spans="1:101" s="189" customFormat="1" x14ac:dyDescent="0.2">
      <c r="A48" s="152"/>
      <c r="B48" s="260"/>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261"/>
      <c r="AD48" s="261"/>
      <c r="AE48" s="261"/>
      <c r="AF48" s="261"/>
      <c r="AG48" s="261"/>
      <c r="AH48" s="261"/>
      <c r="AI48" s="261"/>
      <c r="AJ48" s="153"/>
      <c r="AK48" s="154"/>
      <c r="AL48" s="153"/>
      <c r="AM48" s="261"/>
      <c r="AN48" s="153"/>
      <c r="AO48" s="153"/>
      <c r="AP48" s="153"/>
      <c r="AQ48" s="153"/>
      <c r="AR48" s="153"/>
      <c r="AS48" s="154"/>
      <c r="AT48" s="261"/>
      <c r="AU48" s="261"/>
      <c r="AV48" s="153"/>
      <c r="AW48" s="153"/>
      <c r="AX48" s="153"/>
      <c r="AY48" s="153"/>
      <c r="AZ48" s="153"/>
      <c r="BA48" s="153"/>
      <c r="BB48" s="153"/>
      <c r="BC48" s="153"/>
      <c r="BD48" s="153"/>
      <c r="BE48" s="153"/>
      <c r="BF48" s="153"/>
      <c r="BG48" s="153"/>
      <c r="BH48" s="153"/>
      <c r="BI48" s="261"/>
      <c r="BJ48" s="153"/>
      <c r="BK48" s="153"/>
      <c r="BL48" s="153"/>
      <c r="BM48" s="153"/>
      <c r="BN48" s="153"/>
      <c r="BO48" s="153"/>
      <c r="BP48" s="154"/>
      <c r="BQ48" s="153"/>
      <c r="BR48" s="154"/>
      <c r="BS48" s="153"/>
      <c r="BT48" s="153"/>
      <c r="BU48" s="153"/>
      <c r="BV48" s="153"/>
      <c r="BW48" s="261"/>
      <c r="BX48" s="261"/>
      <c r="BY48" s="261"/>
      <c r="BZ48" s="153"/>
      <c r="CA48" s="153"/>
      <c r="CB48" s="153"/>
      <c r="CC48" s="153"/>
      <c r="CD48" s="153"/>
      <c r="CE48" s="153"/>
      <c r="CF48" s="153"/>
      <c r="CG48" s="210"/>
      <c r="CH48" s="210"/>
      <c r="CI48" s="210"/>
      <c r="CJ48" s="210"/>
      <c r="CK48" s="210"/>
      <c r="CL48" s="210"/>
      <c r="CM48" s="210"/>
      <c r="CN48" s="210"/>
      <c r="CO48" s="210"/>
      <c r="CP48" s="210"/>
      <c r="CQ48" s="210"/>
      <c r="CR48" s="210"/>
      <c r="CS48" s="210"/>
      <c r="CT48" s="210"/>
      <c r="CU48" s="364"/>
    </row>
    <row r="49" spans="1:264" s="196" customFormat="1" x14ac:dyDescent="0.2">
      <c r="A49" s="160" t="s">
        <v>40</v>
      </c>
      <c r="B49" s="161"/>
      <c r="C49" s="162">
        <f t="shared" ref="C49:BN49" si="40">-C46/C43</f>
        <v>0.28000000000000003</v>
      </c>
      <c r="D49" s="162">
        <f t="shared" si="40"/>
        <v>0.28000000000000003</v>
      </c>
      <c r="E49" s="162">
        <f t="shared" si="40"/>
        <v>0.28000000000000003</v>
      </c>
      <c r="F49" s="162">
        <f t="shared" si="40"/>
        <v>0.28000000000000003</v>
      </c>
      <c r="G49" s="162">
        <f t="shared" si="40"/>
        <v>0.28000000000000003</v>
      </c>
      <c r="H49" s="162">
        <f t="shared" si="40"/>
        <v>0.28000000000000003</v>
      </c>
      <c r="I49" s="162">
        <f t="shared" si="40"/>
        <v>0.28000000000000003</v>
      </c>
      <c r="J49" s="162">
        <f t="shared" si="40"/>
        <v>0.28000000000000003</v>
      </c>
      <c r="K49" s="162">
        <f t="shared" si="40"/>
        <v>0.28000000000000003</v>
      </c>
      <c r="L49" s="162">
        <f t="shared" si="40"/>
        <v>0.28000000000000003</v>
      </c>
      <c r="M49" s="162">
        <f t="shared" si="40"/>
        <v>0.28000000000000003</v>
      </c>
      <c r="N49" s="162">
        <f t="shared" si="40"/>
        <v>0.28000000000000003</v>
      </c>
      <c r="O49" s="162">
        <f t="shared" si="40"/>
        <v>0.28000000000000003</v>
      </c>
      <c r="P49" s="162">
        <f t="shared" si="40"/>
        <v>0.28000000000000003</v>
      </c>
      <c r="Q49" s="162">
        <f t="shared" si="40"/>
        <v>0.28000000000000003</v>
      </c>
      <c r="R49" s="162">
        <f t="shared" si="40"/>
        <v>0.28000000000000003</v>
      </c>
      <c r="S49" s="162">
        <f t="shared" si="40"/>
        <v>0.28169780518773807</v>
      </c>
      <c r="T49" s="162">
        <f t="shared" si="40"/>
        <v>0.29295774647887318</v>
      </c>
      <c r="U49" s="162">
        <f t="shared" si="40"/>
        <v>0.26993850848397977</v>
      </c>
      <c r="V49" s="162">
        <f t="shared" si="40"/>
        <v>0.27243209351277509</v>
      </c>
      <c r="W49" s="162">
        <f t="shared" si="40"/>
        <v>0.27398342927144126</v>
      </c>
      <c r="X49" s="162">
        <f t="shared" si="40"/>
        <v>0.27062727536325271</v>
      </c>
      <c r="Y49" s="162">
        <f t="shared" si="40"/>
        <v>0.27362433748437975</v>
      </c>
      <c r="Z49" s="162">
        <f t="shared" si="40"/>
        <v>9.2502270510276138E-2</v>
      </c>
      <c r="AA49" s="162">
        <f t="shared" si="40"/>
        <v>0.26764738881087191</v>
      </c>
      <c r="AB49" s="162">
        <f t="shared" si="40"/>
        <v>0.25785133903606333</v>
      </c>
      <c r="AC49" s="163">
        <f t="shared" si="40"/>
        <v>0.25068906540899394</v>
      </c>
      <c r="AD49" s="163">
        <f t="shared" si="40"/>
        <v>0.19792913872579546</v>
      </c>
      <c r="AE49" s="163">
        <f t="shared" si="40"/>
        <v>0.23251410650005222</v>
      </c>
      <c r="AF49" s="163">
        <f t="shared" si="40"/>
        <v>0.23604006558505392</v>
      </c>
      <c r="AG49" s="163">
        <f t="shared" si="40"/>
        <v>0.21195261512989705</v>
      </c>
      <c r="AH49" s="163">
        <f t="shared" si="40"/>
        <v>0.21983664406572023</v>
      </c>
      <c r="AI49" s="163">
        <f t="shared" si="40"/>
        <v>0.16480519944825073</v>
      </c>
      <c r="AJ49" s="162">
        <f t="shared" si="40"/>
        <v>0.16654726840370496</v>
      </c>
      <c r="AK49" s="164">
        <f t="shared" si="40"/>
        <v>0.2218153623086401</v>
      </c>
      <c r="AL49" s="162">
        <f t="shared" si="40"/>
        <v>0.1796894210594</v>
      </c>
      <c r="AM49" s="163">
        <f t="shared" si="40"/>
        <v>0.17960252782623973</v>
      </c>
      <c r="AN49" s="162">
        <f t="shared" si="40"/>
        <v>0.18175287968284135</v>
      </c>
      <c r="AO49" s="162">
        <f t="shared" si="40"/>
        <v>0.17650330307245954</v>
      </c>
      <c r="AP49" s="162">
        <f t="shared" si="40"/>
        <v>0.18837941121537247</v>
      </c>
      <c r="AQ49" s="162">
        <f t="shared" si="40"/>
        <v>0.1601175933443906</v>
      </c>
      <c r="AR49" s="162">
        <f t="shared" si="40"/>
        <v>0.16082775998827889</v>
      </c>
      <c r="AS49" s="164">
        <f t="shared" si="40"/>
        <v>0.14591100922527084</v>
      </c>
      <c r="AT49" s="163">
        <f t="shared" si="40"/>
        <v>0.11235647598003505</v>
      </c>
      <c r="AU49" s="163">
        <f t="shared" si="40"/>
        <v>0.1661610777395818</v>
      </c>
      <c r="AV49" s="162">
        <f t="shared" si="40"/>
        <v>0.20570376855245998</v>
      </c>
      <c r="AW49" s="162">
        <f t="shared" si="40"/>
        <v>0.24027465223782993</v>
      </c>
      <c r="AX49" s="162">
        <f t="shared" si="40"/>
        <v>0.21326263771794859</v>
      </c>
      <c r="AY49" s="162">
        <f t="shared" si="40"/>
        <v>0.16815200941651254</v>
      </c>
      <c r="AZ49" s="162">
        <f t="shared" si="40"/>
        <v>8.3530558262564378E-2</v>
      </c>
      <c r="BA49" s="162">
        <f t="shared" si="40"/>
        <v>0.15140328825919802</v>
      </c>
      <c r="BB49" s="162">
        <f t="shared" si="40"/>
        <v>0.15571005834191176</v>
      </c>
      <c r="BC49" s="162">
        <f t="shared" si="40"/>
        <v>0.14087254661420198</v>
      </c>
      <c r="BD49" s="162">
        <f t="shared" si="40"/>
        <v>0.17081447041440767</v>
      </c>
      <c r="BE49" s="162">
        <f t="shared" si="40"/>
        <v>0.14893152672984541</v>
      </c>
      <c r="BF49" s="162">
        <f t="shared" si="40"/>
        <v>0.16407672392618095</v>
      </c>
      <c r="BG49" s="162">
        <f t="shared" si="40"/>
        <v>0.13907115902668826</v>
      </c>
      <c r="BH49" s="162">
        <f t="shared" si="40"/>
        <v>0.13969926101884902</v>
      </c>
      <c r="BI49" s="163">
        <f t="shared" si="40"/>
        <v>0.13563128529908003</v>
      </c>
      <c r="BJ49" s="162">
        <f t="shared" si="40"/>
        <v>0.15635741799035657</v>
      </c>
      <c r="BK49" s="162">
        <f t="shared" si="40"/>
        <v>0.13964686312643015</v>
      </c>
      <c r="BL49" s="162">
        <f t="shared" si="40"/>
        <v>0.15297283770237557</v>
      </c>
      <c r="BM49" s="162">
        <f t="shared" si="40"/>
        <v>0.13914119517548154</v>
      </c>
      <c r="BN49" s="162">
        <f t="shared" si="40"/>
        <v>0.13673309604912254</v>
      </c>
      <c r="BO49" s="162">
        <f t="shared" ref="BO49:CN49" si="41">-BO46/BO43</f>
        <v>0.14424221864817696</v>
      </c>
      <c r="BP49" s="164">
        <f t="shared" si="41"/>
        <v>0.14157936891022274</v>
      </c>
      <c r="BQ49" s="162">
        <f t="shared" si="41"/>
        <v>0.14499595400873336</v>
      </c>
      <c r="BR49" s="164">
        <f t="shared" si="41"/>
        <v>0.13652983040264452</v>
      </c>
      <c r="BS49" s="162">
        <f t="shared" si="41"/>
        <v>0.13287924556720526</v>
      </c>
      <c r="BT49" s="162">
        <f t="shared" si="41"/>
        <v>0.1189279359430605</v>
      </c>
      <c r="BU49" s="162">
        <f t="shared" si="41"/>
        <v>0.19500207940137709</v>
      </c>
      <c r="BV49" s="162">
        <f t="shared" si="41"/>
        <v>0.21563580780015934</v>
      </c>
      <c r="BW49" s="163">
        <f t="shared" si="41"/>
        <v>0.12960397179040883</v>
      </c>
      <c r="BX49" s="163">
        <f t="shared" si="41"/>
        <v>0.13927939818872248</v>
      </c>
      <c r="BY49" s="163">
        <f t="shared" si="41"/>
        <v>0.15239870197669736</v>
      </c>
      <c r="BZ49" s="162">
        <f t="shared" si="41"/>
        <v>0.1356430890968022</v>
      </c>
      <c r="CA49" s="162">
        <f t="shared" si="41"/>
        <v>0.15560515794006244</v>
      </c>
      <c r="CB49" s="162">
        <f t="shared" si="41"/>
        <v>0.15748545760007804</v>
      </c>
      <c r="CC49" s="165">
        <f t="shared" si="41"/>
        <v>0.16479311005704078</v>
      </c>
      <c r="CD49" s="165">
        <f t="shared" si="41"/>
        <v>0.1397713260143687</v>
      </c>
      <c r="CE49" s="165">
        <f t="shared" si="41"/>
        <v>0.16415093469387823</v>
      </c>
      <c r="CF49" s="165">
        <f t="shared" si="41"/>
        <v>0.15981946733008037</v>
      </c>
      <c r="CG49" s="165">
        <f t="shared" si="41"/>
        <v>0.16184673379244116</v>
      </c>
      <c r="CH49" s="165">
        <f t="shared" si="41"/>
        <v>0.15374633649329475</v>
      </c>
      <c r="CI49" s="165">
        <f t="shared" si="41"/>
        <v>0.14984148454132207</v>
      </c>
      <c r="CJ49" s="165">
        <f t="shared" si="41"/>
        <v>0.14167233387853009</v>
      </c>
      <c r="CK49" s="165">
        <f t="shared" si="41"/>
        <v>0.13713828023041172</v>
      </c>
      <c r="CL49" s="165">
        <f t="shared" si="41"/>
        <v>0.1366501263638972</v>
      </c>
      <c r="CM49" s="165">
        <f t="shared" si="41"/>
        <v>0.13497269672723883</v>
      </c>
      <c r="CN49" s="165">
        <f t="shared" si="41"/>
        <v>0.13481177248095763</v>
      </c>
      <c r="CO49" s="165">
        <f t="shared" ref="CO49:CS49" si="42">-CO46/CO43</f>
        <v>0.13249015605127218</v>
      </c>
      <c r="CP49" s="165">
        <f t="shared" si="42"/>
        <v>0.13886710554205922</v>
      </c>
      <c r="CQ49" s="165">
        <f t="shared" si="42"/>
        <v>0.14288802978903853</v>
      </c>
      <c r="CR49" s="165">
        <f t="shared" si="42"/>
        <v>0.13891829351884194</v>
      </c>
      <c r="CS49" s="165">
        <f t="shared" si="42"/>
        <v>0.1364343054035928</v>
      </c>
      <c r="CT49" s="165">
        <f>-CT46/CT43</f>
        <v>0.14138941353208093</v>
      </c>
      <c r="CU49" s="406">
        <f>-CU46/CU43</f>
        <v>0.13546752599988868</v>
      </c>
    </row>
    <row r="50" spans="1:264" x14ac:dyDescent="0.2">
      <c r="A50" s="6"/>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4"/>
      <c r="AD50" s="15"/>
      <c r="AE50" s="15"/>
      <c r="AF50" s="15"/>
      <c r="AG50" s="15"/>
      <c r="AH50" s="15"/>
      <c r="AI50" s="15"/>
      <c r="AJ50" s="14"/>
      <c r="AK50" s="4"/>
      <c r="AL50" s="14"/>
      <c r="AM50" s="15"/>
      <c r="AN50" s="14"/>
      <c r="AO50" s="14"/>
      <c r="AP50" s="14"/>
      <c r="AQ50" s="14"/>
      <c r="AR50" s="14"/>
      <c r="AS50" s="4"/>
      <c r="AT50" s="15"/>
      <c r="AU50" s="15"/>
      <c r="AV50" s="14"/>
      <c r="AW50" s="14"/>
      <c r="AX50" s="14"/>
      <c r="AY50" s="14"/>
      <c r="AZ50" s="14"/>
      <c r="BA50" s="14"/>
      <c r="BB50" s="14"/>
      <c r="BC50" s="14"/>
      <c r="BD50" s="14"/>
      <c r="BE50" s="14"/>
      <c r="BF50" s="14"/>
      <c r="BG50" s="14"/>
      <c r="BH50" s="14"/>
      <c r="BI50" s="4"/>
      <c r="BJ50" s="14"/>
      <c r="BK50" s="14"/>
      <c r="BL50" s="14"/>
      <c r="BM50" s="14"/>
      <c r="BN50" s="14"/>
      <c r="BO50" s="14"/>
      <c r="BP50" s="4"/>
      <c r="BQ50" s="14"/>
      <c r="BR50" s="4"/>
      <c r="BS50" s="14"/>
      <c r="BT50" s="14"/>
      <c r="BU50" s="14"/>
      <c r="BV50" s="14"/>
      <c r="BW50" s="15"/>
      <c r="BX50" s="15"/>
      <c r="BY50" s="15"/>
      <c r="BZ50" s="14"/>
      <c r="CA50" s="14"/>
      <c r="CB50" s="14"/>
      <c r="CC50" s="14"/>
      <c r="CD50" s="14"/>
      <c r="CE50" s="14"/>
      <c r="CF50" s="14"/>
      <c r="CG50" s="14"/>
      <c r="CH50" s="14"/>
      <c r="CI50" s="14"/>
      <c r="CJ50" s="14"/>
      <c r="CK50" s="14"/>
      <c r="CL50" s="14"/>
      <c r="CM50" s="14"/>
      <c r="CN50" s="14"/>
      <c r="CO50" s="14"/>
      <c r="CP50" s="14"/>
      <c r="CQ50" s="14"/>
      <c r="CR50" s="14"/>
      <c r="CS50" s="14"/>
      <c r="CT50" s="14"/>
      <c r="CU50" s="361"/>
    </row>
    <row r="51" spans="1:264" x14ac:dyDescent="0.2">
      <c r="A51" s="135" t="s">
        <v>180</v>
      </c>
      <c r="B51" s="25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5"/>
      <c r="AD51" s="15"/>
      <c r="AE51" s="15"/>
      <c r="AF51" s="15"/>
      <c r="AG51" s="15"/>
      <c r="AH51" s="15"/>
      <c r="AI51" s="15"/>
      <c r="AJ51" s="14"/>
      <c r="AK51" s="4"/>
      <c r="AL51" s="14"/>
      <c r="AM51" s="15"/>
      <c r="AN51" s="14"/>
      <c r="AO51" s="14"/>
      <c r="AP51" s="14"/>
      <c r="AQ51" s="14"/>
      <c r="AR51" s="14"/>
      <c r="AS51" s="4"/>
      <c r="AT51" s="15"/>
      <c r="AU51" s="15"/>
      <c r="AV51" s="14"/>
      <c r="AW51" s="14"/>
      <c r="AX51" s="14"/>
      <c r="AY51" s="14"/>
      <c r="AZ51" s="14"/>
      <c r="BA51" s="14"/>
      <c r="BB51" s="14"/>
      <c r="BC51" s="14"/>
      <c r="BD51" s="14"/>
      <c r="BE51" s="14"/>
      <c r="BF51" s="14"/>
      <c r="BG51" s="14"/>
      <c r="BH51" s="14"/>
      <c r="BI51" s="15"/>
      <c r="BJ51" s="14"/>
      <c r="BK51" s="14"/>
      <c r="BL51" s="14"/>
      <c r="BM51" s="14"/>
      <c r="BN51" s="14"/>
      <c r="BO51" s="14"/>
      <c r="BP51" s="4"/>
      <c r="BQ51" s="14"/>
      <c r="BR51" s="4"/>
      <c r="BS51" s="14"/>
      <c r="BT51" s="14"/>
      <c r="BU51" s="14"/>
      <c r="BV51" s="14"/>
      <c r="BW51" s="15"/>
      <c r="BX51" s="15"/>
      <c r="BY51" s="15"/>
      <c r="BZ51" s="14"/>
      <c r="CA51" s="14"/>
      <c r="CB51" s="14"/>
      <c r="CC51" s="14"/>
      <c r="CD51" s="14"/>
      <c r="CE51" s="14"/>
      <c r="CF51" s="14"/>
      <c r="CG51" s="14"/>
      <c r="CH51" s="14"/>
      <c r="CI51" s="14"/>
      <c r="CJ51" s="14"/>
      <c r="CK51" s="14"/>
      <c r="CL51" s="14"/>
      <c r="CM51" s="14"/>
      <c r="CN51" s="14"/>
      <c r="CO51" s="14"/>
      <c r="CP51" s="14"/>
      <c r="CQ51" s="14"/>
      <c r="CR51" s="19"/>
      <c r="CS51" s="19"/>
      <c r="CT51" s="19"/>
      <c r="CU51" s="361"/>
    </row>
    <row r="52" spans="1:264" x14ac:dyDescent="0.2">
      <c r="A52" s="23" t="s">
        <v>39</v>
      </c>
      <c r="B52" s="280"/>
      <c r="C52" s="116">
        <f t="shared" ref="C52:BN52" si="43">+C43/C31</f>
        <v>-4.4874999999999853E-2</v>
      </c>
      <c r="D52" s="116">
        <f t="shared" si="43"/>
        <v>-0.13109090909090912</v>
      </c>
      <c r="E52" s="116">
        <f t="shared" si="43"/>
        <v>4.5416666666666584E-2</v>
      </c>
      <c r="F52" s="116">
        <f t="shared" si="43"/>
        <v>0.32795454545454555</v>
      </c>
      <c r="G52" s="116">
        <f t="shared" si="43"/>
        <v>8.2390572390572361E-2</v>
      </c>
      <c r="H52" s="116">
        <f t="shared" si="43"/>
        <v>2.4552845528455311E-2</v>
      </c>
      <c r="I52" s="116">
        <f t="shared" si="43"/>
        <v>0.27440397350993379</v>
      </c>
      <c r="J52" s="116">
        <f t="shared" si="43"/>
        <v>0.40782152230971142</v>
      </c>
      <c r="K52" s="116">
        <f t="shared" si="43"/>
        <v>0.20986587389380534</v>
      </c>
      <c r="L52" s="116">
        <f t="shared" si="43"/>
        <v>0.36514002507911858</v>
      </c>
      <c r="M52" s="116">
        <f t="shared" si="43"/>
        <v>0.48921640874478017</v>
      </c>
      <c r="N52" s="116">
        <f t="shared" si="43"/>
        <v>0.4451195862960568</v>
      </c>
      <c r="O52" s="116">
        <f t="shared" si="43"/>
        <v>0.57689955664271519</v>
      </c>
      <c r="P52" s="116">
        <f t="shared" si="43"/>
        <v>0.48972602739726023</v>
      </c>
      <c r="Q52" s="116">
        <f t="shared" si="43"/>
        <v>0.41456520121996582</v>
      </c>
      <c r="R52" s="116">
        <f t="shared" si="43"/>
        <v>0.41142721409124955</v>
      </c>
      <c r="S52" s="116">
        <f t="shared" si="43"/>
        <v>0.45337171052631575</v>
      </c>
      <c r="T52" s="116">
        <f t="shared" si="43"/>
        <v>0.4742099031543156</v>
      </c>
      <c r="U52" s="116">
        <f t="shared" si="43"/>
        <v>0.58545365959289741</v>
      </c>
      <c r="V52" s="116">
        <f t="shared" si="43"/>
        <v>0.53617567956968593</v>
      </c>
      <c r="W52" s="116">
        <f t="shared" si="43"/>
        <v>0.6149615228837586</v>
      </c>
      <c r="X52" s="116">
        <f t="shared" si="43"/>
        <v>0.49583067092651756</v>
      </c>
      <c r="Y52" s="116">
        <f t="shared" si="43"/>
        <v>0.53623707469239201</v>
      </c>
      <c r="Z52" s="116">
        <f t="shared" si="43"/>
        <v>0.50543191825770595</v>
      </c>
      <c r="AA52" s="116">
        <f t="shared" si="43"/>
        <v>0.56599528660631804</v>
      </c>
      <c r="AB52" s="116">
        <f t="shared" si="43"/>
        <v>0.53193191871503342</v>
      </c>
      <c r="AC52" s="116">
        <f t="shared" si="43"/>
        <v>0.58073041170690765</v>
      </c>
      <c r="AD52" s="116">
        <f t="shared" si="43"/>
        <v>0.53513974152250643</v>
      </c>
      <c r="AE52" s="116">
        <f t="shared" si="43"/>
        <v>0.50467935243622541</v>
      </c>
      <c r="AF52" s="116">
        <f t="shared" si="43"/>
        <v>0.45729195400987294</v>
      </c>
      <c r="AG52" s="116">
        <f t="shared" si="43"/>
        <v>0.52628722064299682</v>
      </c>
      <c r="AH52" s="116">
        <f t="shared" si="43"/>
        <v>0.40511744590824733</v>
      </c>
      <c r="AI52" s="116">
        <f t="shared" si="43"/>
        <v>0.49586905681043147</v>
      </c>
      <c r="AJ52" s="116">
        <f t="shared" si="43"/>
        <v>0.54759978743442228</v>
      </c>
      <c r="AK52" s="116">
        <f t="shared" si="43"/>
        <v>0.60553340636524688</v>
      </c>
      <c r="AL52" s="116">
        <f t="shared" si="43"/>
        <v>0.5446240281915895</v>
      </c>
      <c r="AM52" s="116">
        <f t="shared" si="43"/>
        <v>0.5841679070819672</v>
      </c>
      <c r="AN52" s="116">
        <f t="shared" si="43"/>
        <v>0.51950450127772974</v>
      </c>
      <c r="AO52" s="116">
        <f t="shared" si="43"/>
        <v>0.54056889345917958</v>
      </c>
      <c r="AP52" s="116">
        <f t="shared" si="43"/>
        <v>0.5143108139125957</v>
      </c>
      <c r="AQ52" s="116">
        <f t="shared" si="43"/>
        <v>0.58964444282770834</v>
      </c>
      <c r="AR52" s="116">
        <f t="shared" si="43"/>
        <v>0.4051640740828501</v>
      </c>
      <c r="AS52" s="116">
        <f t="shared" si="43"/>
        <v>0.57435354605205979</v>
      </c>
      <c r="AT52" s="116">
        <f t="shared" si="43"/>
        <v>0.40369610413894558</v>
      </c>
      <c r="AU52" s="116">
        <f t="shared" si="43"/>
        <v>0.44831509715066115</v>
      </c>
      <c r="AV52" s="116">
        <f t="shared" si="43"/>
        <v>0.35087402732381107</v>
      </c>
      <c r="AW52" s="116">
        <f t="shared" si="43"/>
        <v>0.33998281673280878</v>
      </c>
      <c r="AX52" s="116">
        <f t="shared" si="43"/>
        <v>0.29171907954244636</v>
      </c>
      <c r="AY52" s="116">
        <f t="shared" si="43"/>
        <v>0.36888754109433258</v>
      </c>
      <c r="AZ52" s="116">
        <f t="shared" si="43"/>
        <v>0.27100547066591213</v>
      </c>
      <c r="BA52" s="116">
        <f t="shared" si="43"/>
        <v>0.50170439745869244</v>
      </c>
      <c r="BB52" s="116">
        <f t="shared" si="43"/>
        <v>0.40692651661768142</v>
      </c>
      <c r="BC52" s="116">
        <f t="shared" si="43"/>
        <v>0.45158952486262172</v>
      </c>
      <c r="BD52" s="116">
        <f t="shared" si="43"/>
        <v>0.41747405249624769</v>
      </c>
      <c r="BE52" s="116">
        <f t="shared" si="43"/>
        <v>0.4403393022233571</v>
      </c>
      <c r="BF52" s="116">
        <f t="shared" si="43"/>
        <v>0.43455090294462706</v>
      </c>
      <c r="BG52" s="116">
        <f t="shared" si="43"/>
        <v>0.52411742517425175</v>
      </c>
      <c r="BH52" s="116">
        <f t="shared" si="43"/>
        <v>0.53900931938378682</v>
      </c>
      <c r="BI52" s="116">
        <f t="shared" si="43"/>
        <v>0.53836256072482336</v>
      </c>
      <c r="BJ52" s="116">
        <f t="shared" si="43"/>
        <v>0.56178837799853065</v>
      </c>
      <c r="BK52" s="116">
        <f t="shared" si="43"/>
        <v>0.51125275837644268</v>
      </c>
      <c r="BL52" s="116">
        <f t="shared" si="43"/>
        <v>0.50369209524038272</v>
      </c>
      <c r="BM52" s="116">
        <f t="shared" si="43"/>
        <v>0.55868664161041559</v>
      </c>
      <c r="BN52" s="116">
        <f t="shared" si="43"/>
        <v>0.47723064570418333</v>
      </c>
      <c r="BO52" s="116">
        <f t="shared" ref="BO52:CP52" si="44">+BO43/BO31</f>
        <v>0.4933448452735083</v>
      </c>
      <c r="BP52" s="116">
        <f t="shared" si="44"/>
        <v>0.44151962382938281</v>
      </c>
      <c r="BQ52" s="116">
        <f t="shared" si="44"/>
        <v>0.45784138577777816</v>
      </c>
      <c r="BR52" s="116">
        <f t="shared" si="44"/>
        <v>0.4193531187008776</v>
      </c>
      <c r="BS52" s="116">
        <f t="shared" si="44"/>
        <v>0.44047714080721834</v>
      </c>
      <c r="BT52" s="116">
        <f t="shared" si="44"/>
        <v>0.36900418664447532</v>
      </c>
      <c r="BU52" s="116">
        <f t="shared" si="44"/>
        <v>0.4945746171570003</v>
      </c>
      <c r="BV52" s="116">
        <f t="shared" si="44"/>
        <v>0.28604428209330207</v>
      </c>
      <c r="BW52" s="116">
        <f t="shared" si="44"/>
        <v>0.37348527867966452</v>
      </c>
      <c r="BX52" s="116">
        <f t="shared" si="44"/>
        <v>0.41344716099191814</v>
      </c>
      <c r="BY52" s="116">
        <f t="shared" si="44"/>
        <v>0.51919904602612543</v>
      </c>
      <c r="BZ52" s="116">
        <f t="shared" si="44"/>
        <v>0.42616338874719228</v>
      </c>
      <c r="CA52" s="116">
        <f t="shared" si="44"/>
        <v>0.66628112116331983</v>
      </c>
      <c r="CB52" s="116">
        <f t="shared" si="44"/>
        <v>0.63387803525181252</v>
      </c>
      <c r="CC52" s="116">
        <f t="shared" si="44"/>
        <v>0.68901652708475603</v>
      </c>
      <c r="CD52" s="116">
        <f t="shared" si="44"/>
        <v>0.68821943769380745</v>
      </c>
      <c r="CE52" s="116">
        <f t="shared" si="44"/>
        <v>0.78990760016090822</v>
      </c>
      <c r="CF52" s="116">
        <f t="shared" si="44"/>
        <v>0.71174874875659666</v>
      </c>
      <c r="CG52" s="65">
        <f t="shared" si="44"/>
        <v>0.74836949574844691</v>
      </c>
      <c r="CH52" s="65">
        <f t="shared" si="44"/>
        <v>0.69295032212959107</v>
      </c>
      <c r="CI52" s="65">
        <f t="shared" si="44"/>
        <v>0.67850446113302942</v>
      </c>
      <c r="CJ52" s="65">
        <f t="shared" si="44"/>
        <v>0.55769700267057065</v>
      </c>
      <c r="CK52" s="65">
        <f t="shared" si="44"/>
        <v>0.67821903548075368</v>
      </c>
      <c r="CL52" s="65">
        <f t="shared" si="44"/>
        <v>0.67620591900214932</v>
      </c>
      <c r="CM52" s="65">
        <f t="shared" si="44"/>
        <v>0.66658008319254647</v>
      </c>
      <c r="CN52" s="65">
        <f t="shared" si="44"/>
        <v>0.65550728463472363</v>
      </c>
      <c r="CO52" s="65">
        <f t="shared" si="44"/>
        <v>0.68862576745494897</v>
      </c>
      <c r="CP52" s="65">
        <f t="shared" si="44"/>
        <v>0.65683806445751403</v>
      </c>
      <c r="CQ52" s="65">
        <f>+CQ43/CQ31</f>
        <v>0.6804820979063072</v>
      </c>
      <c r="CR52" s="356">
        <f>+CR43/CR31</f>
        <v>0.63296432057364405</v>
      </c>
      <c r="CS52" s="356">
        <f>+CS43/CS31</f>
        <v>0.68638080511226351</v>
      </c>
      <c r="CT52" s="356">
        <f>+CT43/CT31</f>
        <v>0.68552676286404912</v>
      </c>
      <c r="CU52" s="341">
        <f>+CU43/CU31</f>
        <v>0.71037433601055233</v>
      </c>
      <c r="CY52" s="198"/>
    </row>
    <row r="53" spans="1:264" x14ac:dyDescent="0.2">
      <c r="A53" s="18" t="s">
        <v>119</v>
      </c>
      <c r="B53" s="229"/>
      <c r="C53" s="83">
        <f t="shared" ref="C53:BN53" si="45">+C47/C31</f>
        <v>-3.2309999999999901E-2</v>
      </c>
      <c r="D53" s="83">
        <f t="shared" si="45"/>
        <v>-9.438545454545455E-2</v>
      </c>
      <c r="E53" s="83">
        <f t="shared" si="45"/>
        <v>3.2699999999999937E-2</v>
      </c>
      <c r="F53" s="83">
        <f t="shared" si="45"/>
        <v>0.23612727272727277</v>
      </c>
      <c r="G53" s="83">
        <f t="shared" si="45"/>
        <v>5.9321212121212101E-2</v>
      </c>
      <c r="H53" s="83">
        <f t="shared" si="45"/>
        <v>1.7678048780487825E-2</v>
      </c>
      <c r="I53" s="83">
        <f t="shared" si="45"/>
        <v>0.19757086092715231</v>
      </c>
      <c r="J53" s="83">
        <f t="shared" si="45"/>
        <v>0.29363149606299221</v>
      </c>
      <c r="K53" s="83">
        <f t="shared" si="45"/>
        <v>0.15110342920353986</v>
      </c>
      <c r="L53" s="83">
        <f t="shared" si="45"/>
        <v>0.26290081805696536</v>
      </c>
      <c r="M53" s="83">
        <f t="shared" si="45"/>
        <v>0.35223581429624168</v>
      </c>
      <c r="N53" s="83">
        <f t="shared" si="45"/>
        <v>0.32048610213316087</v>
      </c>
      <c r="O53" s="83">
        <f t="shared" si="45"/>
        <v>0.41536768078275488</v>
      </c>
      <c r="P53" s="83">
        <f t="shared" si="45"/>
        <v>0.35260273972602735</v>
      </c>
      <c r="Q53" s="83">
        <f t="shared" si="45"/>
        <v>0.2984869448783754</v>
      </c>
      <c r="R53" s="83">
        <f t="shared" si="45"/>
        <v>0.29622759414569966</v>
      </c>
      <c r="S53" s="83">
        <f t="shared" si="45"/>
        <v>0.32565789473684209</v>
      </c>
      <c r="T53" s="83">
        <f t="shared" si="45"/>
        <v>0.33528643856826257</v>
      </c>
      <c r="U53" s="83">
        <f t="shared" si="45"/>
        <v>0.42741717193590312</v>
      </c>
      <c r="V53" s="83">
        <f t="shared" si="45"/>
        <v>0.39010421669388157</v>
      </c>
      <c r="W53" s="83">
        <f t="shared" si="45"/>
        <v>0.44647225597407852</v>
      </c>
      <c r="X53" s="83">
        <f t="shared" si="45"/>
        <v>0.36164536741214059</v>
      </c>
      <c r="Y53" s="83">
        <f t="shared" si="45"/>
        <v>0.38950956039512435</v>
      </c>
      <c r="Z53" s="83">
        <f t="shared" si="45"/>
        <v>0.45867831823050381</v>
      </c>
      <c r="AA53" s="83">
        <f t="shared" si="45"/>
        <v>0.41450812606687593</v>
      </c>
      <c r="AB53" s="83">
        <f t="shared" si="45"/>
        <v>0.39477256119833959</v>
      </c>
      <c r="AC53" s="263">
        <f t="shared" si="45"/>
        <v>0.43514764754152274</v>
      </c>
      <c r="AD53" s="264">
        <f t="shared" si="45"/>
        <v>0.42921999338501188</v>
      </c>
      <c r="AE53" s="264">
        <f t="shared" si="45"/>
        <v>0.38733428373549156</v>
      </c>
      <c r="AF53" s="264">
        <f t="shared" si="45"/>
        <v>0.34935273119386506</v>
      </c>
      <c r="AG53" s="264">
        <f t="shared" si="45"/>
        <v>0.41473926791826848</v>
      </c>
      <c r="AH53" s="264">
        <f t="shared" si="45"/>
        <v>0.31605778614730229</v>
      </c>
      <c r="AI53" s="264">
        <f t="shared" si="45"/>
        <v>0.4141472580025724</v>
      </c>
      <c r="AJ53" s="83">
        <f t="shared" si="45"/>
        <v>0.45639853865876973</v>
      </c>
      <c r="AK53" s="264">
        <f t="shared" si="45"/>
        <v>0.47121679444235459</v>
      </c>
      <c r="AL53" s="83">
        <f t="shared" si="45"/>
        <v>0.44676085187080439</v>
      </c>
      <c r="AM53" s="264">
        <f t="shared" si="45"/>
        <v>0.47924987429508198</v>
      </c>
      <c r="AN53" s="83">
        <f t="shared" si="45"/>
        <v>0.42508306216230402</v>
      </c>
      <c r="AO53" s="83">
        <f t="shared" si="45"/>
        <v>0.44515669822540987</v>
      </c>
      <c r="AP53" s="83">
        <f t="shared" si="45"/>
        <v>0.41742524560604194</v>
      </c>
      <c r="AQ53" s="83">
        <f t="shared" si="45"/>
        <v>0.49523199371324156</v>
      </c>
      <c r="AR53" s="83">
        <f t="shared" si="45"/>
        <v>0.34000244362038023</v>
      </c>
      <c r="AS53" s="263">
        <f t="shared" si="45"/>
        <v>0.49054904049549064</v>
      </c>
      <c r="AT53" s="264">
        <f t="shared" si="45"/>
        <v>0.35833823251102442</v>
      </c>
      <c r="AU53" s="264">
        <f t="shared" si="45"/>
        <v>0.37382257744118197</v>
      </c>
      <c r="AV53" s="83">
        <f t="shared" si="45"/>
        <v>0.27869791761612434</v>
      </c>
      <c r="AW53" s="83">
        <f t="shared" si="45"/>
        <v>0.25829356367549533</v>
      </c>
      <c r="AX53" s="83">
        <f t="shared" si="45"/>
        <v>0.2295062991665722</v>
      </c>
      <c r="AY53" s="83">
        <f t="shared" si="45"/>
        <v>0.30685835981060422</v>
      </c>
      <c r="AZ53" s="83">
        <f t="shared" si="45"/>
        <v>0.24836823240897948</v>
      </c>
      <c r="BA53" s="83">
        <f t="shared" si="45"/>
        <v>0.42574470194934677</v>
      </c>
      <c r="BB53" s="83">
        <f t="shared" si="45"/>
        <v>0.34356396497427133</v>
      </c>
      <c r="BC53" s="83">
        <f t="shared" si="45"/>
        <v>0.38797295847092672</v>
      </c>
      <c r="BD53" s="83">
        <f t="shared" si="45"/>
        <v>0.3461634433073445</v>
      </c>
      <c r="BE53" s="83">
        <f t="shared" si="45"/>
        <v>0.37475889766407772</v>
      </c>
      <c r="BF53" s="83">
        <f t="shared" si="45"/>
        <v>0.36325121441030883</v>
      </c>
      <c r="BG53" s="83">
        <f t="shared" si="45"/>
        <v>0.451227807389185</v>
      </c>
      <c r="BH53" s="83">
        <f t="shared" si="45"/>
        <v>0.463710115783599</v>
      </c>
      <c r="BI53" s="263">
        <f t="shared" si="45"/>
        <v>0.46534375465681149</v>
      </c>
      <c r="BJ53" s="83">
        <f t="shared" si="45"/>
        <v>0.47394859775768994</v>
      </c>
      <c r="BK53" s="83">
        <f t="shared" si="45"/>
        <v>0.43985791440443772</v>
      </c>
      <c r="BL53" s="83">
        <f t="shared" si="45"/>
        <v>0.42664088610320622</v>
      </c>
      <c r="BM53" s="83">
        <f t="shared" si="45"/>
        <v>0.48095031456816645</v>
      </c>
      <c r="BN53" s="83">
        <f t="shared" si="45"/>
        <v>0.41197742198752846</v>
      </c>
      <c r="BO53" s="83">
        <f t="shared" ref="BO53:CP53" si="46">+BO47/BO31</f>
        <v>0.42218369023261582</v>
      </c>
      <c r="BP53" s="263">
        <f t="shared" si="46"/>
        <v>0.37900955412613985</v>
      </c>
      <c r="BQ53" s="83">
        <f t="shared" si="46"/>
        <v>0.39145623726224871</v>
      </c>
      <c r="BR53" s="83">
        <f t="shared" si="46"/>
        <v>0.36209890852582671</v>
      </c>
      <c r="BS53" s="83">
        <f t="shared" si="46"/>
        <v>0.38194687064715555</v>
      </c>
      <c r="BT53" s="83">
        <f t="shared" si="46"/>
        <v>0.32511928037249999</v>
      </c>
      <c r="BU53" s="83">
        <f t="shared" si="46"/>
        <v>0.39813153839224524</v>
      </c>
      <c r="BV53" s="83">
        <f t="shared" si="46"/>
        <v>0.22436289225749623</v>
      </c>
      <c r="BW53" s="264">
        <f t="shared" si="46"/>
        <v>0.32508010315753233</v>
      </c>
      <c r="BX53" s="264">
        <f t="shared" si="46"/>
        <v>0.3558624892261279</v>
      </c>
      <c r="BY53" s="264">
        <f t="shared" si="46"/>
        <v>0.44007378534420433</v>
      </c>
      <c r="BZ53" s="83">
        <f t="shared" si="46"/>
        <v>0.36835727023756171</v>
      </c>
      <c r="CA53" s="83">
        <f t="shared" si="46"/>
        <v>0.56260434207221954</v>
      </c>
      <c r="CB53" s="83">
        <f t="shared" si="46"/>
        <v>0.53405146280754245</v>
      </c>
      <c r="CC53" s="83">
        <f t="shared" si="46"/>
        <v>0.57547135070575783</v>
      </c>
      <c r="CD53" s="83">
        <f t="shared" si="46"/>
        <v>0.59202609429848074</v>
      </c>
      <c r="CE53" s="83">
        <f t="shared" si="46"/>
        <v>0.66024352927269692</v>
      </c>
      <c r="CF53" s="83">
        <f t="shared" si="46"/>
        <v>0.59799744285746625</v>
      </c>
      <c r="CG53" s="83">
        <f t="shared" si="46"/>
        <v>0.62724833719166462</v>
      </c>
      <c r="CH53" s="83">
        <f t="shared" si="46"/>
        <v>0.58641174873031809</v>
      </c>
      <c r="CI53" s="83">
        <f t="shared" si="46"/>
        <v>0.57683634540894657</v>
      </c>
      <c r="CJ53" s="83">
        <f t="shared" si="46"/>
        <v>0.47868676670517007</v>
      </c>
      <c r="CK53" s="83">
        <f t="shared" si="46"/>
        <v>0.58520924333539459</v>
      </c>
      <c r="CL53" s="83">
        <f t="shared" si="46"/>
        <v>0.58380229472249034</v>
      </c>
      <c r="CM53" s="83">
        <f t="shared" si="46"/>
        <v>0.57660997177938123</v>
      </c>
      <c r="CN53" s="83">
        <f t="shared" si="46"/>
        <v>0.5671371857189369</v>
      </c>
      <c r="CO53" s="83">
        <f t="shared" si="46"/>
        <v>0.59738963206391571</v>
      </c>
      <c r="CP53" s="83">
        <f t="shared" si="46"/>
        <v>0.56562486363645059</v>
      </c>
      <c r="CQ53" s="83">
        <f>+CQ47/CQ31</f>
        <v>0.58324935162976344</v>
      </c>
      <c r="CR53" s="264">
        <f>+CR47/CR31</f>
        <v>0.54503399730124014</v>
      </c>
      <c r="CS53" s="264">
        <f>+CS47/CS31</f>
        <v>0.59273491672441303</v>
      </c>
      <c r="CT53" s="264">
        <f>+CT47/CT31</f>
        <v>0.58860053590215533</v>
      </c>
      <c r="CU53" s="342">
        <f>+CU47/CU31</f>
        <v>0.61414168217738918</v>
      </c>
    </row>
    <row r="54" spans="1:264" x14ac:dyDescent="0.2">
      <c r="A54" s="6" t="s">
        <v>168</v>
      </c>
      <c r="C54" s="85">
        <f t="shared" ref="C54:BN54" si="47">-C37/C31</f>
        <v>1.0448749999999998</v>
      </c>
      <c r="D54" s="85">
        <f t="shared" si="47"/>
        <v>1.1310909090909091</v>
      </c>
      <c r="E54" s="85">
        <f t="shared" si="47"/>
        <v>0.95458333333333345</v>
      </c>
      <c r="F54" s="85">
        <f t="shared" si="47"/>
        <v>0.6720454545454545</v>
      </c>
      <c r="G54" s="85">
        <f t="shared" si="47"/>
        <v>0.91760942760942765</v>
      </c>
      <c r="H54" s="85">
        <f t="shared" si="47"/>
        <v>0.97138211382113815</v>
      </c>
      <c r="I54" s="85">
        <f t="shared" si="47"/>
        <v>0.72890728476821187</v>
      </c>
      <c r="J54" s="85">
        <f t="shared" si="47"/>
        <v>0.58955380577427807</v>
      </c>
      <c r="K54" s="85">
        <f t="shared" si="47"/>
        <v>0.7901341261061946</v>
      </c>
      <c r="L54" s="85">
        <f t="shared" si="47"/>
        <v>0.63485997492088142</v>
      </c>
      <c r="M54" s="85">
        <f t="shared" si="47"/>
        <v>0.51078359125521988</v>
      </c>
      <c r="N54" s="85">
        <f t="shared" si="47"/>
        <v>0.55488041370394325</v>
      </c>
      <c r="O54" s="85">
        <f t="shared" si="47"/>
        <v>0.42310044335728481</v>
      </c>
      <c r="P54" s="85">
        <f t="shared" si="47"/>
        <v>0.51027397260273977</v>
      </c>
      <c r="Q54" s="85">
        <f t="shared" si="47"/>
        <v>0.58543479878003424</v>
      </c>
      <c r="R54" s="85">
        <f t="shared" si="47"/>
        <v>0.58857278590875051</v>
      </c>
      <c r="S54" s="85">
        <f t="shared" si="47"/>
        <v>0.54662828947368425</v>
      </c>
      <c r="T54" s="85">
        <f t="shared" si="47"/>
        <v>0.52579009684568445</v>
      </c>
      <c r="U54" s="85">
        <f t="shared" si="47"/>
        <v>0.41454634040710253</v>
      </c>
      <c r="V54" s="85">
        <f t="shared" si="47"/>
        <v>0.46502497358563055</v>
      </c>
      <c r="W54" s="85">
        <f t="shared" si="47"/>
        <v>0.38503847711624145</v>
      </c>
      <c r="X54" s="85">
        <f t="shared" si="47"/>
        <v>0.50416932907348244</v>
      </c>
      <c r="Y54" s="85">
        <f t="shared" si="47"/>
        <v>0.46376292530760799</v>
      </c>
      <c r="Z54" s="85">
        <f t="shared" si="47"/>
        <v>0.49456808174229405</v>
      </c>
      <c r="AA54" s="85">
        <f t="shared" si="47"/>
        <v>0.43030990460003704</v>
      </c>
      <c r="AB54" s="85">
        <f t="shared" si="47"/>
        <v>0.46806808128496663</v>
      </c>
      <c r="AC54" s="85">
        <f t="shared" si="47"/>
        <v>0.41926958829309235</v>
      </c>
      <c r="AD54" s="85">
        <f t="shared" si="47"/>
        <v>0.45853172006676279</v>
      </c>
      <c r="AE54" s="85">
        <f t="shared" si="47"/>
        <v>0.49532064756377453</v>
      </c>
      <c r="AF54" s="85">
        <f t="shared" si="47"/>
        <v>0.54270804599012712</v>
      </c>
      <c r="AG54" s="85">
        <f t="shared" si="47"/>
        <v>0.47371277935700323</v>
      </c>
      <c r="AH54" s="85">
        <f t="shared" si="47"/>
        <v>0.59488255409175272</v>
      </c>
      <c r="AI54" s="85">
        <f t="shared" si="47"/>
        <v>0.50413094318956853</v>
      </c>
      <c r="AJ54" s="85">
        <f t="shared" si="47"/>
        <v>0.45240021256557778</v>
      </c>
      <c r="AK54" s="86">
        <f t="shared" si="47"/>
        <v>0.39446659363475323</v>
      </c>
      <c r="AL54" s="87">
        <f t="shared" si="47"/>
        <v>0.45537597180841055</v>
      </c>
      <c r="AM54" s="86">
        <f t="shared" si="47"/>
        <v>0.41583209291803275</v>
      </c>
      <c r="AN54" s="87">
        <f t="shared" si="47"/>
        <v>0.48049549872227026</v>
      </c>
      <c r="AO54" s="87">
        <f t="shared" si="47"/>
        <v>0.45943110654082053</v>
      </c>
      <c r="AP54" s="87">
        <f t="shared" si="47"/>
        <v>0.48568918608740425</v>
      </c>
      <c r="AQ54" s="87">
        <f t="shared" si="47"/>
        <v>0.41035555717229166</v>
      </c>
      <c r="AR54" s="87">
        <f t="shared" si="47"/>
        <v>0.55929321839216639</v>
      </c>
      <c r="AS54" s="88">
        <f t="shared" si="47"/>
        <v>0.42564645394794026</v>
      </c>
      <c r="AT54" s="86">
        <f t="shared" si="47"/>
        <v>0.59630389586105437</v>
      </c>
      <c r="AU54" s="86">
        <f t="shared" si="47"/>
        <v>0.5516849028493388</v>
      </c>
      <c r="AV54" s="87">
        <f t="shared" si="47"/>
        <v>0.64912597267618899</v>
      </c>
      <c r="AW54" s="87">
        <f t="shared" si="47"/>
        <v>0.65184825796145984</v>
      </c>
      <c r="AX54" s="87">
        <f t="shared" si="47"/>
        <v>0.70828092045755364</v>
      </c>
      <c r="AY54" s="87">
        <f t="shared" si="47"/>
        <v>0.63111245890566736</v>
      </c>
      <c r="AZ54" s="87">
        <f t="shared" si="47"/>
        <v>0.72899452933408793</v>
      </c>
      <c r="BA54" s="87">
        <f t="shared" si="47"/>
        <v>0.49829560254130756</v>
      </c>
      <c r="BB54" s="87">
        <f t="shared" si="47"/>
        <v>0.58673722821797758</v>
      </c>
      <c r="BC54" s="87">
        <f t="shared" si="47"/>
        <v>0.54781592778792321</v>
      </c>
      <c r="BD54" s="87">
        <f t="shared" si="47"/>
        <v>0.58190205765957992</v>
      </c>
      <c r="BE54" s="87">
        <f t="shared" si="47"/>
        <v>0.5602793808385228</v>
      </c>
      <c r="BF54" s="87">
        <f t="shared" si="47"/>
        <v>0.56810953319471313</v>
      </c>
      <c r="BG54" s="87">
        <f t="shared" si="47"/>
        <v>0.47542253200309781</v>
      </c>
      <c r="BH54" s="87">
        <f t="shared" si="47"/>
        <v>0.46003384034797085</v>
      </c>
      <c r="BI54" s="88">
        <f t="shared" si="47"/>
        <v>0.46140931262976992</v>
      </c>
      <c r="BJ54" s="87">
        <f t="shared" si="47"/>
        <v>0.43879962947583606</v>
      </c>
      <c r="BK54" s="87">
        <f t="shared" si="47"/>
        <v>0.48816224565858396</v>
      </c>
      <c r="BL54" s="87">
        <f t="shared" si="47"/>
        <v>0.49530330203003858</v>
      </c>
      <c r="BM54" s="87">
        <f t="shared" si="47"/>
        <v>0.44053633807354592</v>
      </c>
      <c r="BN54" s="87">
        <f t="shared" si="47"/>
        <v>0.52284145502969714</v>
      </c>
      <c r="BO54" s="87">
        <f t="shared" ref="BO54:CP54" si="48">-BO37/BO31</f>
        <v>0.50753444486061772</v>
      </c>
      <c r="BP54" s="88">
        <f t="shared" si="48"/>
        <v>0.55878008198426288</v>
      </c>
      <c r="BQ54" s="87">
        <f t="shared" si="48"/>
        <v>0.54251153898838622</v>
      </c>
      <c r="BR54" s="87">
        <f t="shared" si="48"/>
        <v>0.58074026652015609</v>
      </c>
      <c r="BS54" s="87">
        <f t="shared" si="48"/>
        <v>0.56081434423643062</v>
      </c>
      <c r="BT54" s="87">
        <f t="shared" si="48"/>
        <v>0.6281114413679203</v>
      </c>
      <c r="BU54" s="87">
        <f t="shared" si="48"/>
        <v>0.50378548733079187</v>
      </c>
      <c r="BV54" s="87">
        <f t="shared" si="48"/>
        <v>0.71009923058789493</v>
      </c>
      <c r="BW54" s="86">
        <f t="shared" si="48"/>
        <v>0.61363729359381802</v>
      </c>
      <c r="BX54" s="86">
        <f t="shared" si="48"/>
        <v>0.58358638249246453</v>
      </c>
      <c r="BY54" s="86">
        <f t="shared" si="48"/>
        <v>0.47410784323485367</v>
      </c>
      <c r="BZ54" s="87">
        <f t="shared" si="48"/>
        <v>0.56918887556811004</v>
      </c>
      <c r="CA54" s="87">
        <f t="shared" si="48"/>
        <v>0.33026554077007986</v>
      </c>
      <c r="CB54" s="87">
        <f t="shared" si="48"/>
        <v>0.35268568830272679</v>
      </c>
      <c r="CC54" s="87">
        <f t="shared" si="48"/>
        <v>0.30794087259272729</v>
      </c>
      <c r="CD54" s="87">
        <f t="shared" si="48"/>
        <v>0.31317450038811839</v>
      </c>
      <c r="CE54" s="87">
        <f t="shared" si="48"/>
        <v>0.21159226201784173</v>
      </c>
      <c r="CF54" s="87">
        <f t="shared" si="48"/>
        <v>0.2871108972969304</v>
      </c>
      <c r="CG54" s="87">
        <f t="shared" si="48"/>
        <v>0.25094934541966957</v>
      </c>
      <c r="CH54" s="87">
        <f t="shared" si="48"/>
        <v>0.30669132029009744</v>
      </c>
      <c r="CI54" s="87">
        <f t="shared" si="48"/>
        <v>0.32369584936335372</v>
      </c>
      <c r="CJ54" s="87">
        <f t="shared" si="48"/>
        <v>0.44014044449005862</v>
      </c>
      <c r="CK54" s="87">
        <f t="shared" si="48"/>
        <v>0.32116373859080588</v>
      </c>
      <c r="CL54" s="87">
        <f t="shared" si="48"/>
        <v>0.32264068605479984</v>
      </c>
      <c r="CM54" s="87">
        <f t="shared" si="48"/>
        <v>0.33319302722347965</v>
      </c>
      <c r="CN54" s="87">
        <f t="shared" si="48"/>
        <v>0.34488262101169515</v>
      </c>
      <c r="CO54" s="87">
        <f t="shared" si="48"/>
        <v>0.31120047112665866</v>
      </c>
      <c r="CP54" s="87">
        <f t="shared" si="48"/>
        <v>0.34705984849046478</v>
      </c>
      <c r="CQ54" s="87">
        <f>-CQ37/CQ31</f>
        <v>0.31893607063427853</v>
      </c>
      <c r="CR54" s="86">
        <f>-CR37/CR31</f>
        <v>0.36712883408781083</v>
      </c>
      <c r="CS54" s="86">
        <f>-CS37/CS31</f>
        <v>0.31300912973232936</v>
      </c>
      <c r="CT54" s="86">
        <f>-CT37/CT31</f>
        <v>0.31589285309797888</v>
      </c>
      <c r="CU54" s="61">
        <f>-CU37/CU31</f>
        <v>0.28956116848374241</v>
      </c>
    </row>
    <row r="55" spans="1:264" ht="15" x14ac:dyDescent="0.2">
      <c r="A55" s="23" t="s">
        <v>213</v>
      </c>
      <c r="B55" s="231"/>
      <c r="C55" s="99">
        <f t="shared" ref="C55:BN55" si="49">+C47*1000000/C147</f>
        <v>-6.6499310538552497E-3</v>
      </c>
      <c r="D55" s="99">
        <f t="shared" si="49"/>
        <v>-1.4839369513555089E-2</v>
      </c>
      <c r="E55" s="99">
        <f t="shared" si="49"/>
        <v>6.4326963705292001E-3</v>
      </c>
      <c r="F55" s="99">
        <f t="shared" si="49"/>
        <v>7.2600174650671381E-2</v>
      </c>
      <c r="G55" s="99">
        <f t="shared" si="49"/>
        <v>1.3235535727660352E-2</v>
      </c>
      <c r="H55" s="99">
        <f t="shared" si="49"/>
        <v>3.2669650917477992E-3</v>
      </c>
      <c r="I55" s="99">
        <f t="shared" si="49"/>
        <v>4.4823410124692022E-2</v>
      </c>
      <c r="J55" s="99">
        <f t="shared" si="49"/>
        <v>8.4043217873472298E-2</v>
      </c>
      <c r="K55" s="99">
        <f t="shared" si="49"/>
        <v>3.2837326278147137E-2</v>
      </c>
      <c r="L55" s="99">
        <f t="shared" si="49"/>
        <v>6.6150634225290619E-2</v>
      </c>
      <c r="M55" s="99">
        <f t="shared" si="49"/>
        <v>0.10772330590604152</v>
      </c>
      <c r="N55" s="99">
        <f t="shared" si="49"/>
        <v>0.11173669679689725</v>
      </c>
      <c r="O55" s="99">
        <f t="shared" si="49"/>
        <v>0.20410418499520372</v>
      </c>
      <c r="P55" s="99">
        <f t="shared" si="49"/>
        <v>0.13071646584812741</v>
      </c>
      <c r="Q55" s="99">
        <f t="shared" si="49"/>
        <v>9.0431108226707621E-2</v>
      </c>
      <c r="R55" s="99">
        <f t="shared" si="49"/>
        <v>0.12179180955444553</v>
      </c>
      <c r="S55" s="99">
        <f t="shared" si="49"/>
        <v>0.14642655964807927</v>
      </c>
      <c r="T55" s="99">
        <f t="shared" si="49"/>
        <v>0.16084076436645975</v>
      </c>
      <c r="U55" s="99">
        <f t="shared" si="49"/>
        <v>0.22996704905184567</v>
      </c>
      <c r="V55" s="99">
        <f t="shared" si="49"/>
        <v>0.23659350212923969</v>
      </c>
      <c r="W55" s="99">
        <f t="shared" si="49"/>
        <v>0.40135188380958714</v>
      </c>
      <c r="X55" s="99">
        <f t="shared" si="49"/>
        <v>0.32970609059147798</v>
      </c>
      <c r="Y55" s="99">
        <f t="shared" si="49"/>
        <v>0.24549916379259423</v>
      </c>
      <c r="Z55" s="99">
        <f t="shared" si="49"/>
        <v>0.3929122584066207</v>
      </c>
      <c r="AA55" s="99">
        <f t="shared" si="49"/>
        <v>0.40846120987236639</v>
      </c>
      <c r="AB55" s="99">
        <f t="shared" si="49"/>
        <v>0.39821246724183784</v>
      </c>
      <c r="AC55" s="99">
        <f t="shared" si="49"/>
        <v>0.41354237219155798</v>
      </c>
      <c r="AD55" s="99">
        <f t="shared" si="49"/>
        <v>0.47180302317577705</v>
      </c>
      <c r="AE55" s="99">
        <f t="shared" si="49"/>
        <v>0.38890301325478638</v>
      </c>
      <c r="AF55" s="99">
        <f t="shared" si="49"/>
        <v>0.33244382510625287</v>
      </c>
      <c r="AG55" s="99">
        <f t="shared" si="49"/>
        <v>0.35244643029184336</v>
      </c>
      <c r="AH55" s="99">
        <f t="shared" si="49"/>
        <v>0.28352654541222194</v>
      </c>
      <c r="AI55" s="99">
        <f t="shared" si="49"/>
        <v>0.32342449976025478</v>
      </c>
      <c r="AJ55" s="99">
        <f t="shared" si="49"/>
        <v>0.43550994467976017</v>
      </c>
      <c r="AK55" s="99">
        <f t="shared" si="49"/>
        <v>0.43252710028171409</v>
      </c>
      <c r="AL55" s="99">
        <f t="shared" si="49"/>
        <v>0.46350797266333088</v>
      </c>
      <c r="AM55" s="99">
        <f t="shared" si="49"/>
        <v>0.53003582130576232</v>
      </c>
      <c r="AN55" s="99">
        <f t="shared" si="49"/>
        <v>0.48825435121132438</v>
      </c>
      <c r="AO55" s="99">
        <f t="shared" si="49"/>
        <v>0.43631603948944564</v>
      </c>
      <c r="AP55" s="99">
        <f t="shared" si="49"/>
        <v>0.49339634802096161</v>
      </c>
      <c r="AQ55" s="99">
        <f t="shared" si="49"/>
        <v>0.63791157082525696</v>
      </c>
      <c r="AR55" s="99">
        <f t="shared" si="49"/>
        <v>0.4061705440449479</v>
      </c>
      <c r="AS55" s="99">
        <f t="shared" si="49"/>
        <v>0.616479464612671</v>
      </c>
      <c r="AT55" s="99">
        <f t="shared" si="49"/>
        <v>0.39026068370082045</v>
      </c>
      <c r="AU55" s="99">
        <f t="shared" si="49"/>
        <v>0.42614046595726385</v>
      </c>
      <c r="AV55" s="99">
        <f t="shared" si="49"/>
        <v>0.26958087907585043</v>
      </c>
      <c r="AW55" s="99">
        <f t="shared" si="49"/>
        <v>0.21901583117303758</v>
      </c>
      <c r="AX55" s="99">
        <f t="shared" si="49"/>
        <v>0.20442397783096869</v>
      </c>
      <c r="AY55" s="99">
        <f t="shared" si="49"/>
        <v>0.30839779817977897</v>
      </c>
      <c r="AZ55" s="99">
        <f t="shared" si="49"/>
        <v>0.22799257747877341</v>
      </c>
      <c r="BA55" s="99">
        <f t="shared" si="49"/>
        <v>0.42705673080809353</v>
      </c>
      <c r="BB55" s="99">
        <f t="shared" si="49"/>
        <v>0.37557942860689336</v>
      </c>
      <c r="BC55" s="99">
        <f t="shared" si="49"/>
        <v>0.45200356289053861</v>
      </c>
      <c r="BD55" s="99">
        <f t="shared" si="49"/>
        <v>0.38432632661081362</v>
      </c>
      <c r="BE55" s="99">
        <f t="shared" si="49"/>
        <v>0.41957593934725557</v>
      </c>
      <c r="BF55" s="99">
        <f t="shared" si="49"/>
        <v>0.47288015587308435</v>
      </c>
      <c r="BG55" s="99">
        <f t="shared" si="49"/>
        <v>0.68608356234471402</v>
      </c>
      <c r="BH55" s="99">
        <f t="shared" si="49"/>
        <v>0.71907268674663816</v>
      </c>
      <c r="BI55" s="99">
        <f t="shared" si="49"/>
        <v>0.63850731363673641</v>
      </c>
      <c r="BJ55" s="99">
        <f t="shared" si="49"/>
        <v>0.80904385237666954</v>
      </c>
      <c r="BK55" s="99">
        <f t="shared" si="49"/>
        <v>0.67185402572402375</v>
      </c>
      <c r="BL55" s="99">
        <f t="shared" si="49"/>
        <v>0.63570325608447709</v>
      </c>
      <c r="BM55" s="99">
        <f t="shared" si="49"/>
        <v>0.70497218840546627</v>
      </c>
      <c r="BN55" s="99">
        <f t="shared" si="49"/>
        <v>0.67707736077060776</v>
      </c>
      <c r="BO55" s="99">
        <f t="shared" ref="BO55:CP55" si="50">+BO47*1000000/BO147</f>
        <v>0.69191791875055075</v>
      </c>
      <c r="BP55" s="99">
        <f t="shared" si="50"/>
        <v>0.59333490358666552</v>
      </c>
      <c r="BQ55" s="99">
        <f t="shared" si="50"/>
        <v>0.59387249977869849</v>
      </c>
      <c r="BR55" s="99">
        <f t="shared" si="50"/>
        <v>0.65377300488041545</v>
      </c>
      <c r="BS55" s="99">
        <f t="shared" si="50"/>
        <v>0.69093367824788077</v>
      </c>
      <c r="BT55" s="99">
        <f t="shared" si="50"/>
        <v>0.52823985633924164</v>
      </c>
      <c r="BU55" s="99">
        <f t="shared" si="50"/>
        <v>0.7070905859591784</v>
      </c>
      <c r="BV55" s="99">
        <f t="shared" si="50"/>
        <v>0.39563424151375076</v>
      </c>
      <c r="BW55" s="100">
        <f t="shared" si="50"/>
        <v>0.57482538914082493</v>
      </c>
      <c r="BX55" s="100">
        <f t="shared" si="50"/>
        <v>0.66792322615405797</v>
      </c>
      <c r="BY55" s="100">
        <f t="shared" si="50"/>
        <v>0.90678019280739963</v>
      </c>
      <c r="BZ55" s="99">
        <f t="shared" si="50"/>
        <v>0.78724572905669654</v>
      </c>
      <c r="CA55" s="99">
        <f t="shared" si="50"/>
        <v>1.9815634013592247</v>
      </c>
      <c r="CB55" s="99">
        <f t="shared" si="50"/>
        <v>1.8253952085483467</v>
      </c>
      <c r="CC55" s="99">
        <f t="shared" si="50"/>
        <v>2.1492556751856773</v>
      </c>
      <c r="CD55" s="99">
        <f t="shared" si="50"/>
        <v>2.6976948158249394</v>
      </c>
      <c r="CE55" s="99">
        <f t="shared" si="50"/>
        <v>4.0766035596957169</v>
      </c>
      <c r="CF55" s="99">
        <f t="shared" si="50"/>
        <v>2.9081608808474626</v>
      </c>
      <c r="CG55" s="99">
        <f t="shared" si="50"/>
        <v>3.1012969037545965</v>
      </c>
      <c r="CH55" s="99">
        <f t="shared" si="50"/>
        <v>3.1067924173732209</v>
      </c>
      <c r="CI55" s="99">
        <f t="shared" si="50"/>
        <v>2.8465956939976484</v>
      </c>
      <c r="CJ55" s="99">
        <f t="shared" si="50"/>
        <v>1.9008317770524683</v>
      </c>
      <c r="CK55" s="99">
        <f t="shared" si="50"/>
        <v>2.7790414636133973</v>
      </c>
      <c r="CL55" s="99">
        <f t="shared" si="50"/>
        <v>3.1571817551383456</v>
      </c>
      <c r="CM55" s="99">
        <f t="shared" si="50"/>
        <v>3.1957561173229645</v>
      </c>
      <c r="CN55" s="99">
        <f t="shared" si="50"/>
        <v>3.0163386197286339</v>
      </c>
      <c r="CO55" s="99">
        <f t="shared" si="50"/>
        <v>3.2545785521787907</v>
      </c>
      <c r="CP55" s="99">
        <f t="shared" si="50"/>
        <v>3.17809898750756</v>
      </c>
      <c r="CQ55" s="99">
        <f>+CQ47*1000000/CQ147</f>
        <v>3.5268016917575817</v>
      </c>
      <c r="CR55" s="100">
        <f>+CR47*1000000/CR147</f>
        <v>3.2186542329341767</v>
      </c>
      <c r="CS55" s="100">
        <f>+CS47*1000000/CS147</f>
        <v>3.6141383201858006</v>
      </c>
      <c r="CT55" s="100">
        <v>3.9751349891049452</v>
      </c>
      <c r="CU55" s="404">
        <v>4.498030329308917</v>
      </c>
      <c r="CW55" s="354"/>
    </row>
    <row r="56" spans="1:264" ht="15" x14ac:dyDescent="0.2">
      <c r="A56" s="23" t="s">
        <v>205</v>
      </c>
      <c r="C56" s="99">
        <f t="shared" ref="C56:BN56" si="51">+C47*1000000/C148</f>
        <v>-6.3435921534977938E-3</v>
      </c>
      <c r="D56" s="99">
        <f t="shared" si="51"/>
        <v>-1.4098679986914886E-2</v>
      </c>
      <c r="E56" s="99">
        <f t="shared" si="51"/>
        <v>5.5529877852665364E-3</v>
      </c>
      <c r="F56" s="99">
        <f t="shared" si="51"/>
        <v>7.2442379203216473E-2</v>
      </c>
      <c r="G56" s="99">
        <f t="shared" si="51"/>
        <v>1.3232362689189456E-2</v>
      </c>
      <c r="H56" s="99">
        <f t="shared" si="51"/>
        <v>3.2667692539982991E-3</v>
      </c>
      <c r="I56" s="99">
        <f t="shared" si="51"/>
        <v>4.4735072095889228E-2</v>
      </c>
      <c r="J56" s="99">
        <f t="shared" si="51"/>
        <v>8.378945324928147E-2</v>
      </c>
      <c r="K56" s="99">
        <f t="shared" si="51"/>
        <v>3.2733885088720556E-2</v>
      </c>
      <c r="L56" s="99">
        <f t="shared" si="51"/>
        <v>6.5959427042271437E-2</v>
      </c>
      <c r="M56" s="99">
        <f t="shared" si="51"/>
        <v>0.10716860521407662</v>
      </c>
      <c r="N56" s="99">
        <f t="shared" si="51"/>
        <v>0.11042647997554153</v>
      </c>
      <c r="O56" s="99">
        <f t="shared" si="51"/>
        <v>0.20063996951541471</v>
      </c>
      <c r="P56" s="99">
        <f t="shared" si="51"/>
        <v>0.12833598428304152</v>
      </c>
      <c r="Q56" s="99">
        <f t="shared" si="51"/>
        <v>8.8855888754312232E-2</v>
      </c>
      <c r="R56" s="99">
        <f t="shared" si="51"/>
        <v>0.11951024524227334</v>
      </c>
      <c r="S56" s="99">
        <f t="shared" si="51"/>
        <v>0.14642655964807927</v>
      </c>
      <c r="T56" s="99">
        <f t="shared" si="51"/>
        <v>0.16084076436645975</v>
      </c>
      <c r="U56" s="99">
        <f t="shared" si="51"/>
        <v>0.22978824279626128</v>
      </c>
      <c r="V56" s="99">
        <f t="shared" si="51"/>
        <v>0.23592518838489429</v>
      </c>
      <c r="W56" s="99">
        <f t="shared" si="51"/>
        <v>0.3991815319244012</v>
      </c>
      <c r="X56" s="99">
        <f t="shared" si="51"/>
        <v>0.32743318898180601</v>
      </c>
      <c r="Y56" s="99">
        <f t="shared" si="51"/>
        <v>0.24380803064486287</v>
      </c>
      <c r="Z56" s="99">
        <f t="shared" si="51"/>
        <v>0.39033282785673412</v>
      </c>
      <c r="AA56" s="99">
        <f t="shared" si="51"/>
        <v>0.40570888276765199</v>
      </c>
      <c r="AB56" s="99">
        <f t="shared" si="51"/>
        <v>0.39531504387847727</v>
      </c>
      <c r="AC56" s="99">
        <f t="shared" si="51"/>
        <v>0.41051828754517844</v>
      </c>
      <c r="AD56" s="99">
        <f t="shared" si="51"/>
        <v>0.46798213146426493</v>
      </c>
      <c r="AE56" s="99">
        <f t="shared" si="51"/>
        <v>0.38553877577836981</v>
      </c>
      <c r="AF56" s="99">
        <f t="shared" si="51"/>
        <v>0.33058741866997438</v>
      </c>
      <c r="AG56" s="99">
        <f t="shared" si="51"/>
        <v>0.35131896932693696</v>
      </c>
      <c r="AH56" s="99">
        <f t="shared" si="51"/>
        <v>0.28302148870079019</v>
      </c>
      <c r="AI56" s="99">
        <f t="shared" si="51"/>
        <v>0.32340819894968637</v>
      </c>
      <c r="AJ56" s="99">
        <f t="shared" si="51"/>
        <v>0.434918086253341</v>
      </c>
      <c r="AK56" s="99">
        <f t="shared" si="51"/>
        <v>0.43103616109565285</v>
      </c>
      <c r="AL56" s="99">
        <f t="shared" si="51"/>
        <v>0.46079509465943908</v>
      </c>
      <c r="AM56" s="99">
        <f t="shared" si="51"/>
        <v>0.52578437753142027</v>
      </c>
      <c r="AN56" s="99">
        <f t="shared" si="51"/>
        <v>0.48302163494929351</v>
      </c>
      <c r="AO56" s="99">
        <f t="shared" si="51"/>
        <v>0.42817650112455519</v>
      </c>
      <c r="AP56" s="99">
        <f t="shared" si="51"/>
        <v>0.48525562081243795</v>
      </c>
      <c r="AQ56" s="99">
        <f t="shared" si="51"/>
        <v>0.62643025648264949</v>
      </c>
      <c r="AR56" s="99">
        <f t="shared" si="51"/>
        <v>0.40278274523052038</v>
      </c>
      <c r="AS56" s="99">
        <f t="shared" si="51"/>
        <v>0.61324189856486444</v>
      </c>
      <c r="AT56" s="99">
        <f t="shared" si="51"/>
        <v>0.38822387478656684</v>
      </c>
      <c r="AU56" s="99">
        <f t="shared" si="51"/>
        <v>0.42335301418317567</v>
      </c>
      <c r="AV56" s="99">
        <f t="shared" si="51"/>
        <v>0.26958087907585043</v>
      </c>
      <c r="AW56" s="99">
        <f t="shared" si="51"/>
        <v>0.21901583117303758</v>
      </c>
      <c r="AX56" s="99">
        <f t="shared" si="51"/>
        <v>0.20442397783096869</v>
      </c>
      <c r="AY56" s="99">
        <f t="shared" si="51"/>
        <v>0.30839779817977897</v>
      </c>
      <c r="AZ56" s="99">
        <f t="shared" si="51"/>
        <v>0.22799257747877341</v>
      </c>
      <c r="BA56" s="99">
        <f t="shared" si="51"/>
        <v>0.42705673080809353</v>
      </c>
      <c r="BB56" s="99">
        <f t="shared" si="51"/>
        <v>0.37394599771891063</v>
      </c>
      <c r="BC56" s="99">
        <f t="shared" si="51"/>
        <v>0.44808389668378096</v>
      </c>
      <c r="BD56" s="99">
        <f t="shared" si="51"/>
        <v>0.38056179495032882</v>
      </c>
      <c r="BE56" s="99">
        <f t="shared" si="51"/>
        <v>0.41547378828958431</v>
      </c>
      <c r="BF56" s="99">
        <f t="shared" si="51"/>
        <v>0.4689941430084883</v>
      </c>
      <c r="BG56" s="99">
        <f t="shared" si="51"/>
        <v>0.67744734754382319</v>
      </c>
      <c r="BH56" s="99">
        <f t="shared" si="51"/>
        <v>0.7118832961579985</v>
      </c>
      <c r="BI56" s="99">
        <f t="shared" si="51"/>
        <v>0.63226761074398685</v>
      </c>
      <c r="BJ56" s="99">
        <f t="shared" si="51"/>
        <v>0.80040167298378817</v>
      </c>
      <c r="BK56" s="99">
        <f t="shared" si="51"/>
        <v>0.66576495529673529</v>
      </c>
      <c r="BL56" s="99">
        <f t="shared" si="51"/>
        <v>0.63555026540854309</v>
      </c>
      <c r="BM56" s="99">
        <f t="shared" si="51"/>
        <v>0.70497218840546627</v>
      </c>
      <c r="BN56" s="99">
        <f t="shared" si="51"/>
        <v>0.67587687125027252</v>
      </c>
      <c r="BO56" s="99">
        <f t="shared" ref="BO56:CP56" si="52">+BO47*1000000/BO148</f>
        <v>0.68994026676189923</v>
      </c>
      <c r="BP56" s="99">
        <f t="shared" si="52"/>
        <v>0.59220128712537079</v>
      </c>
      <c r="BQ56" s="99">
        <f t="shared" si="52"/>
        <v>0.59387249977869849</v>
      </c>
      <c r="BR56" s="99">
        <f t="shared" si="52"/>
        <v>0.65377300488041545</v>
      </c>
      <c r="BS56" s="99">
        <f t="shared" si="52"/>
        <v>0.68807661868362513</v>
      </c>
      <c r="BT56" s="99">
        <f t="shared" si="52"/>
        <v>0.52607698291854832</v>
      </c>
      <c r="BU56" s="99">
        <f t="shared" si="52"/>
        <v>0.70608734974154519</v>
      </c>
      <c r="BV56" s="99">
        <f t="shared" si="52"/>
        <v>0.39384422039549871</v>
      </c>
      <c r="BW56" s="100">
        <f t="shared" si="52"/>
        <v>0.57404043547347772</v>
      </c>
      <c r="BX56" s="100">
        <f t="shared" si="52"/>
        <v>0.66792322615405797</v>
      </c>
      <c r="BY56" s="100">
        <f t="shared" si="52"/>
        <v>0.90678019280739963</v>
      </c>
      <c r="BZ56" s="99">
        <f t="shared" si="52"/>
        <v>0.78724572905669654</v>
      </c>
      <c r="CA56" s="99">
        <f t="shared" si="52"/>
        <v>1.9789178411865405</v>
      </c>
      <c r="CB56" s="99">
        <f t="shared" si="52"/>
        <v>1.8069170813260205</v>
      </c>
      <c r="CC56" s="99">
        <f t="shared" si="52"/>
        <v>2.1241259659036866</v>
      </c>
      <c r="CD56" s="99">
        <f t="shared" si="52"/>
        <v>2.6603370557197135</v>
      </c>
      <c r="CE56" s="99">
        <f t="shared" si="52"/>
        <v>3.9896350848440445</v>
      </c>
      <c r="CF56" s="99">
        <f t="shared" si="52"/>
        <v>2.8410434838129976</v>
      </c>
      <c r="CG56" s="99">
        <f t="shared" si="52"/>
        <v>3.0547260216204362</v>
      </c>
      <c r="CH56" s="99">
        <f t="shared" si="52"/>
        <v>3.0565900732501885</v>
      </c>
      <c r="CI56" s="99">
        <f t="shared" si="52"/>
        <v>2.809071124703042</v>
      </c>
      <c r="CJ56" s="99">
        <f t="shared" si="52"/>
        <v>1.8824936518134592</v>
      </c>
      <c r="CK56" s="99">
        <f t="shared" si="52"/>
        <v>2.7790414636133933</v>
      </c>
      <c r="CL56" s="99">
        <f t="shared" si="52"/>
        <v>3.1538366092707029</v>
      </c>
      <c r="CM56" s="99">
        <f t="shared" si="52"/>
        <v>3.1819749086937477</v>
      </c>
      <c r="CN56" s="99">
        <f t="shared" si="52"/>
        <v>3.0086859446201557</v>
      </c>
      <c r="CO56" s="99">
        <f t="shared" si="52"/>
        <v>3.2474736536114333</v>
      </c>
      <c r="CP56" s="99">
        <f t="shared" si="52"/>
        <v>3.17809898750756</v>
      </c>
      <c r="CQ56" s="99">
        <f>+CQ47*1000000/CQ148</f>
        <v>3.5254461141638114</v>
      </c>
      <c r="CR56" s="100">
        <f>+CR47*1000000/CR148</f>
        <v>3.2142419800806716</v>
      </c>
      <c r="CS56" s="100">
        <f>+CS47*1000000/CS148</f>
        <v>3.6103224026573995</v>
      </c>
      <c r="CT56" s="100">
        <v>3.9714229808915666</v>
      </c>
      <c r="CU56" s="404">
        <v>4.4785265761920146</v>
      </c>
    </row>
    <row r="57" spans="1:264" x14ac:dyDescent="0.2">
      <c r="A57" s="23" t="s">
        <v>254</v>
      </c>
      <c r="B57" s="231"/>
      <c r="C57" s="70" t="s">
        <v>43</v>
      </c>
      <c r="D57" s="70" t="s">
        <v>43</v>
      </c>
      <c r="E57" s="116">
        <f t="shared" ref="E57:BP57" si="53">E47/((D60+E60)/2)*4</f>
        <v>8.3761636525348203E-3</v>
      </c>
      <c r="F57" s="116">
        <f t="shared" si="53"/>
        <v>0.12555407854984901</v>
      </c>
      <c r="G57" s="116">
        <f t="shared" si="53"/>
        <v>3.9514213624894858E-2</v>
      </c>
      <c r="H57" s="116">
        <f t="shared" si="53"/>
        <v>9.7753301489182463E-3</v>
      </c>
      <c r="I57" s="116">
        <f t="shared" si="53"/>
        <v>0.13277641168289289</v>
      </c>
      <c r="J57" s="116">
        <f t="shared" si="53"/>
        <v>0.2392378508420209</v>
      </c>
      <c r="K57" s="116">
        <f t="shared" si="53"/>
        <v>9.042916989914665E-2</v>
      </c>
      <c r="L57" s="116">
        <f t="shared" si="53"/>
        <v>0.17762178517397878</v>
      </c>
      <c r="M57" s="116">
        <f t="shared" si="53"/>
        <v>0.27529676025917915</v>
      </c>
      <c r="N57" s="116">
        <f t="shared" si="53"/>
        <v>0.2685400135409613</v>
      </c>
      <c r="O57" s="116">
        <f t="shared" si="53"/>
        <v>0.4771758507135016</v>
      </c>
      <c r="P57" s="116">
        <f t="shared" si="53"/>
        <v>0.29604831986388763</v>
      </c>
      <c r="Q57" s="116">
        <f t="shared" si="53"/>
        <v>0.19396060422960729</v>
      </c>
      <c r="R57" s="116">
        <f t="shared" si="53"/>
        <v>0.24917948126801148</v>
      </c>
      <c r="S57" s="116">
        <f t="shared" si="53"/>
        <v>0.29836127330947443</v>
      </c>
      <c r="T57" s="116">
        <f t="shared" si="53"/>
        <v>0.32139687158966901</v>
      </c>
      <c r="U57" s="116">
        <f t="shared" si="53"/>
        <v>0.41773809523809541</v>
      </c>
      <c r="V57" s="116">
        <f t="shared" si="53"/>
        <v>0.38645257210823691</v>
      </c>
      <c r="W57" s="116">
        <f t="shared" si="53"/>
        <v>0.57812508194571899</v>
      </c>
      <c r="X57" s="116">
        <f t="shared" si="53"/>
        <v>0.44829702970297036</v>
      </c>
      <c r="Y57" s="116">
        <f t="shared" si="53"/>
        <v>0.32343446456409625</v>
      </c>
      <c r="Z57" s="116">
        <f t="shared" si="53"/>
        <v>0.46732055862292959</v>
      </c>
      <c r="AA57" s="116">
        <f t="shared" si="53"/>
        <v>0.48586671424859229</v>
      </c>
      <c r="AB57" s="116">
        <f t="shared" si="53"/>
        <v>0.47352197458599399</v>
      </c>
      <c r="AC57" s="116">
        <f t="shared" si="53"/>
        <v>0.4376541751199306</v>
      </c>
      <c r="AD57" s="116">
        <f t="shared" si="53"/>
        <v>0.45940663001782528</v>
      </c>
      <c r="AE57" s="116">
        <f t="shared" si="53"/>
        <v>0.35208686133333328</v>
      </c>
      <c r="AF57" s="116">
        <f t="shared" si="53"/>
        <v>0.31412107133448897</v>
      </c>
      <c r="AG57" s="116">
        <f t="shared" si="53"/>
        <v>0.34835649585585576</v>
      </c>
      <c r="AH57" s="116">
        <f t="shared" si="53"/>
        <v>0.25788375845747308</v>
      </c>
      <c r="AI57" s="116">
        <f t="shared" si="53"/>
        <v>0.2744392221179508</v>
      </c>
      <c r="AJ57" s="116">
        <f t="shared" si="53"/>
        <v>0.38680590677938809</v>
      </c>
      <c r="AK57" s="116">
        <f t="shared" si="53"/>
        <v>0.39760212286666674</v>
      </c>
      <c r="AL57" s="116">
        <f t="shared" si="53"/>
        <v>0.38646839310657594</v>
      </c>
      <c r="AM57" s="116">
        <f t="shared" si="53"/>
        <v>0.40046907304109591</v>
      </c>
      <c r="AN57" s="116">
        <f t="shared" si="53"/>
        <v>0.38206303530410179</v>
      </c>
      <c r="AO57" s="116">
        <f t="shared" si="53"/>
        <v>0.35263379401681977</v>
      </c>
      <c r="AP57" s="116">
        <f t="shared" si="53"/>
        <v>0.35763928357976654</v>
      </c>
      <c r="AQ57" s="116">
        <f t="shared" si="53"/>
        <v>0.41572013062937052</v>
      </c>
      <c r="AR57" s="116">
        <f t="shared" si="53"/>
        <v>0.27315242122546107</v>
      </c>
      <c r="AS57" s="116">
        <f t="shared" si="53"/>
        <v>0.43414677638711197</v>
      </c>
      <c r="AT57" s="116">
        <f t="shared" si="53"/>
        <v>0.25792352224988196</v>
      </c>
      <c r="AU57" s="116">
        <f t="shared" si="53"/>
        <v>0.26610874743145013</v>
      </c>
      <c r="AV57" s="116">
        <f t="shared" si="53"/>
        <v>0.18160421627613887</v>
      </c>
      <c r="AW57" s="116">
        <f t="shared" si="53"/>
        <v>0.16173421223235296</v>
      </c>
      <c r="AX57" s="116">
        <f t="shared" si="53"/>
        <v>0.14520261295510453</v>
      </c>
      <c r="AY57" s="116">
        <f t="shared" si="53"/>
        <v>0.20939682539682539</v>
      </c>
      <c r="AZ57" s="116">
        <f t="shared" si="53"/>
        <v>0.16977433913604129</v>
      </c>
      <c r="BA57" s="116">
        <f t="shared" si="53"/>
        <v>0.3478343582510578</v>
      </c>
      <c r="BB57" s="116">
        <f t="shared" si="53"/>
        <v>0.2827740651890483</v>
      </c>
      <c r="BC57" s="116">
        <f t="shared" si="53"/>
        <v>0.31581455578947371</v>
      </c>
      <c r="BD57" s="116">
        <f t="shared" si="53"/>
        <v>0.28785839481193259</v>
      </c>
      <c r="BE57" s="116">
        <f t="shared" si="53"/>
        <v>0.33887355300699307</v>
      </c>
      <c r="BF57" s="116">
        <f t="shared" si="53"/>
        <v>0.34964973065300903</v>
      </c>
      <c r="BG57" s="116">
        <f t="shared" si="53"/>
        <v>0.5189208434839554</v>
      </c>
      <c r="BH57" s="116">
        <f t="shared" si="53"/>
        <v>0.51666861443553369</v>
      </c>
      <c r="BI57" s="116">
        <f t="shared" si="53"/>
        <v>0.3911568851774529</v>
      </c>
      <c r="BJ57" s="116">
        <f t="shared" si="53"/>
        <v>0.44520682606657291</v>
      </c>
      <c r="BK57" s="116">
        <f t="shared" si="53"/>
        <v>0.33557350900425564</v>
      </c>
      <c r="BL57" s="116">
        <f t="shared" si="53"/>
        <v>0.32500937529564145</v>
      </c>
      <c r="BM57" s="116">
        <f t="shared" si="53"/>
        <v>0.36583669812173936</v>
      </c>
      <c r="BN57" s="116">
        <f t="shared" si="53"/>
        <v>0.32132419174552718</v>
      </c>
      <c r="BO57" s="116">
        <f t="shared" si="53"/>
        <v>0.34324330520365792</v>
      </c>
      <c r="BP57" s="116">
        <f t="shared" si="53"/>
        <v>0.31006083901926507</v>
      </c>
      <c r="BQ57" s="116">
        <f t="shared" ref="BQ57:CP57" si="54">BQ47/((BP60+BQ60)/2)*4</f>
        <v>0.28225592435785285</v>
      </c>
      <c r="BR57" s="116">
        <f t="shared" si="54"/>
        <v>0.28462583732946334</v>
      </c>
      <c r="BS57" s="116">
        <f t="shared" si="54"/>
        <v>0.30985375646806002</v>
      </c>
      <c r="BT57" s="116">
        <f t="shared" si="54"/>
        <v>0.24642125777986171</v>
      </c>
      <c r="BU57" s="116">
        <f t="shared" si="54"/>
        <v>0.29726911755903279</v>
      </c>
      <c r="BV57" s="116">
        <f t="shared" si="54"/>
        <v>0.15197044814715094</v>
      </c>
      <c r="BW57" s="265">
        <f t="shared" si="54"/>
        <v>0.22970624043912144</v>
      </c>
      <c r="BX57" s="265">
        <f t="shared" si="54"/>
        <v>0.27463788944809775</v>
      </c>
      <c r="BY57" s="265">
        <f t="shared" si="54"/>
        <v>0.32718216808391698</v>
      </c>
      <c r="BZ57" s="116">
        <f t="shared" si="54"/>
        <v>0.25591702468924876</v>
      </c>
      <c r="CA57" s="116">
        <f t="shared" si="54"/>
        <v>0.64446421256241815</v>
      </c>
      <c r="CB57" s="116">
        <f t="shared" si="54"/>
        <v>0.55999277160438277</v>
      </c>
      <c r="CC57" s="116">
        <f t="shared" si="54"/>
        <v>0.55321639562525304</v>
      </c>
      <c r="CD57" s="116">
        <f t="shared" si="54"/>
        <v>0.57780343914256094</v>
      </c>
      <c r="CE57" s="116">
        <f t="shared" si="54"/>
        <v>0.73859271509988789</v>
      </c>
      <c r="CF57" s="116">
        <f t="shared" si="54"/>
        <v>0.46284169139593961</v>
      </c>
      <c r="CG57" s="116">
        <f t="shared" si="54"/>
        <v>0.43770582569747996</v>
      </c>
      <c r="CH57" s="116">
        <f t="shared" si="54"/>
        <v>0.412513103925715</v>
      </c>
      <c r="CI57" s="116">
        <f t="shared" si="54"/>
        <v>0.36153746907634166</v>
      </c>
      <c r="CJ57" s="116">
        <f t="shared" si="54"/>
        <v>0.26320427289874737</v>
      </c>
      <c r="CK57" s="116">
        <f t="shared" si="54"/>
        <v>0.41706690300541077</v>
      </c>
      <c r="CL57" s="116">
        <f t="shared" si="54"/>
        <v>0.42209768261886044</v>
      </c>
      <c r="CM57" s="116">
        <f t="shared" si="54"/>
        <v>0.38475084440962004</v>
      </c>
      <c r="CN57" s="116">
        <f t="shared" si="54"/>
        <v>0.37071837037164529</v>
      </c>
      <c r="CO57" s="116">
        <f t="shared" si="54"/>
        <v>0.40675334802305063</v>
      </c>
      <c r="CP57" s="116">
        <f t="shared" si="54"/>
        <v>0.35891607580575363</v>
      </c>
      <c r="CQ57" s="116">
        <f>CQ47/((CP60+CQ60)/2)*4</f>
        <v>0.36269447658814941</v>
      </c>
      <c r="CR57" s="265">
        <f>CR47/((CQ60+CR60)/2)*4</f>
        <v>0.35123429247815974</v>
      </c>
      <c r="CS57" s="265">
        <f>CS47/((CR60+CS60)/2)*4</f>
        <v>0.41986932149433009</v>
      </c>
      <c r="CT57" s="265">
        <f>CT47/((CS60+CT60)/2)*4</f>
        <v>0.41598965199546811</v>
      </c>
      <c r="CU57" s="50">
        <f>CU47/((CT60+CU60)/2)*4</f>
        <v>0.42368682640968786</v>
      </c>
    </row>
    <row r="58" spans="1:264" x14ac:dyDescent="0.2">
      <c r="A58" s="6"/>
      <c r="C58" s="90"/>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266"/>
      <c r="AD58" s="266"/>
      <c r="AE58" s="266"/>
      <c r="AF58" s="266"/>
      <c r="AG58" s="266"/>
      <c r="AH58" s="266"/>
      <c r="AI58" s="266"/>
      <c r="AJ58" s="90"/>
      <c r="AK58" s="267"/>
      <c r="AL58" s="90"/>
      <c r="AM58" s="266"/>
      <c r="AN58" s="90"/>
      <c r="AO58" s="90"/>
      <c r="AP58" s="90"/>
      <c r="AQ58" s="90"/>
      <c r="AR58" s="90"/>
      <c r="AS58" s="267"/>
      <c r="AT58" s="266"/>
      <c r="AU58" s="266"/>
      <c r="AV58" s="90"/>
      <c r="AW58" s="90"/>
      <c r="AX58" s="90"/>
      <c r="AY58" s="90"/>
      <c r="AZ58" s="90"/>
      <c r="BA58" s="90"/>
      <c r="BB58" s="90"/>
      <c r="BC58" s="90"/>
      <c r="BD58" s="90"/>
      <c r="BE58" s="90"/>
      <c r="BF58" s="90"/>
      <c r="BG58" s="90"/>
      <c r="BH58" s="90"/>
      <c r="BI58" s="266"/>
      <c r="BJ58" s="90"/>
      <c r="BK58" s="90"/>
      <c r="BL58" s="90"/>
      <c r="BM58" s="90"/>
      <c r="BN58" s="90"/>
      <c r="BO58" s="90"/>
      <c r="BP58" s="267"/>
      <c r="BQ58" s="90"/>
      <c r="BR58" s="267"/>
      <c r="BS58" s="90"/>
      <c r="BT58" s="90"/>
      <c r="BU58" s="90"/>
      <c r="BV58" s="90"/>
      <c r="BW58" s="266"/>
      <c r="BX58" s="266"/>
      <c r="BY58" s="266"/>
      <c r="BZ58" s="90"/>
      <c r="CA58" s="90"/>
      <c r="CB58" s="90"/>
      <c r="CC58" s="90"/>
      <c r="CD58" s="90"/>
      <c r="CE58" s="90"/>
      <c r="CF58" s="90"/>
      <c r="CG58" s="90"/>
      <c r="CH58" s="90"/>
      <c r="CI58" s="90"/>
      <c r="CJ58" s="90"/>
      <c r="CK58" s="90"/>
      <c r="CL58" s="90"/>
      <c r="CM58" s="90"/>
      <c r="CN58" s="90"/>
      <c r="CO58" s="90"/>
      <c r="CP58" s="90"/>
      <c r="CQ58" s="90"/>
      <c r="CR58" s="266"/>
      <c r="CS58" s="266"/>
      <c r="CT58" s="266"/>
      <c r="CU58" s="365"/>
    </row>
    <row r="59" spans="1:264" x14ac:dyDescent="0.2">
      <c r="A59" s="135" t="s">
        <v>120</v>
      </c>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5"/>
      <c r="AD59" s="15"/>
      <c r="AE59" s="15"/>
      <c r="AF59" s="15"/>
      <c r="AG59" s="15"/>
      <c r="AH59" s="15"/>
      <c r="AI59" s="15"/>
      <c r="AJ59" s="14"/>
      <c r="AK59" s="4"/>
      <c r="AL59" s="14"/>
      <c r="AM59" s="15"/>
      <c r="AN59" s="14"/>
      <c r="AO59" s="14"/>
      <c r="AP59" s="14"/>
      <c r="AQ59" s="14"/>
      <c r="AR59" s="14"/>
      <c r="AS59" s="4"/>
      <c r="AT59" s="15"/>
      <c r="AU59" s="15"/>
      <c r="AV59" s="14"/>
      <c r="AW59" s="14"/>
      <c r="AX59" s="14"/>
      <c r="AY59" s="14"/>
      <c r="AZ59" s="14"/>
      <c r="BA59" s="14"/>
      <c r="BB59" s="14"/>
      <c r="BC59" s="14"/>
      <c r="BD59" s="14"/>
      <c r="BE59" s="14"/>
      <c r="BF59" s="14"/>
      <c r="BG59" s="14"/>
      <c r="BH59" s="14"/>
      <c r="BI59" s="15"/>
      <c r="BJ59" s="14"/>
      <c r="BK59" s="14"/>
      <c r="BL59" s="14"/>
      <c r="BM59" s="14"/>
      <c r="BN59" s="14"/>
      <c r="BO59" s="14"/>
      <c r="BP59" s="4"/>
      <c r="BQ59" s="14"/>
      <c r="BR59" s="14"/>
      <c r="BS59" s="14"/>
      <c r="BT59" s="14"/>
      <c r="BU59" s="14"/>
      <c r="BV59" s="14"/>
      <c r="BW59" s="15"/>
      <c r="BX59" s="15"/>
      <c r="BY59" s="15"/>
      <c r="BZ59" s="14"/>
      <c r="CA59" s="14"/>
      <c r="CB59" s="14"/>
      <c r="CC59" s="14"/>
      <c r="CD59" s="14"/>
      <c r="CE59" s="14"/>
      <c r="CF59" s="14"/>
      <c r="CG59" s="14"/>
      <c r="CH59" s="14"/>
      <c r="CI59" s="14"/>
      <c r="CJ59" s="14"/>
      <c r="CK59" s="14"/>
      <c r="CL59" s="14"/>
      <c r="CM59" s="14"/>
      <c r="CN59" s="14"/>
      <c r="CO59" s="14"/>
      <c r="CP59" s="14"/>
      <c r="CQ59" s="14"/>
      <c r="CR59" s="15"/>
      <c r="CS59" s="15"/>
      <c r="CT59" s="15"/>
      <c r="CU59" s="361"/>
    </row>
    <row r="60" spans="1:264" x14ac:dyDescent="0.2">
      <c r="A60" s="23" t="s">
        <v>255</v>
      </c>
      <c r="B60" s="231">
        <v>355.3</v>
      </c>
      <c r="C60" s="24">
        <v>349.8</v>
      </c>
      <c r="D60" s="24">
        <v>323.2</v>
      </c>
      <c r="E60" s="24">
        <v>351.4</v>
      </c>
      <c r="F60" s="24">
        <v>178.2</v>
      </c>
      <c r="G60" s="24">
        <v>178.5</v>
      </c>
      <c r="H60" s="24">
        <v>177.4</v>
      </c>
      <c r="I60" s="24">
        <v>182.1</v>
      </c>
      <c r="J60" s="24">
        <v>192</v>
      </c>
      <c r="K60" s="24">
        <v>194.7</v>
      </c>
      <c r="L60" s="24">
        <v>201.9</v>
      </c>
      <c r="M60" s="24">
        <v>214.8</v>
      </c>
      <c r="N60" s="24">
        <v>228.3</v>
      </c>
      <c r="O60" s="24">
        <v>227.2</v>
      </c>
      <c r="P60" s="24">
        <v>243</v>
      </c>
      <c r="Q60" s="24">
        <v>253.5</v>
      </c>
      <c r="R60" s="24">
        <v>267</v>
      </c>
      <c r="S60" s="24">
        <v>263.89999999999998</v>
      </c>
      <c r="T60" s="24">
        <v>285.89999999999998</v>
      </c>
      <c r="U60" s="24">
        <v>318.89999999999998</v>
      </c>
      <c r="V60" s="24">
        <v>353.7</v>
      </c>
      <c r="W60" s="24">
        <v>409</v>
      </c>
      <c r="X60" s="24">
        <v>399</v>
      </c>
      <c r="Y60" s="24">
        <v>434.9</v>
      </c>
      <c r="Z60" s="24">
        <v>488.8</v>
      </c>
      <c r="AA60" s="24">
        <v>434.8</v>
      </c>
      <c r="AB60" s="24">
        <v>489.1</v>
      </c>
      <c r="AC60" s="25">
        <v>549</v>
      </c>
      <c r="AD60" s="25">
        <v>573</v>
      </c>
      <c r="AE60" s="25">
        <v>627</v>
      </c>
      <c r="AF60" s="25">
        <v>527</v>
      </c>
      <c r="AG60" s="25">
        <v>583</v>
      </c>
      <c r="AH60" s="25">
        <v>628</v>
      </c>
      <c r="AI60" s="25">
        <v>672</v>
      </c>
      <c r="AJ60" s="24">
        <v>570</v>
      </c>
      <c r="AK60" s="25">
        <v>630</v>
      </c>
      <c r="AL60" s="24">
        <v>693</v>
      </c>
      <c r="AM60" s="25">
        <v>767</v>
      </c>
      <c r="AN60" s="24">
        <v>647</v>
      </c>
      <c r="AO60" s="24">
        <v>729</v>
      </c>
      <c r="AP60" s="24">
        <v>813</v>
      </c>
      <c r="AQ60" s="24">
        <v>903</v>
      </c>
      <c r="AR60" s="24">
        <v>778</v>
      </c>
      <c r="AS60" s="232">
        <v>839.93</v>
      </c>
      <c r="AT60" s="25">
        <v>875.36</v>
      </c>
      <c r="AU60" s="25">
        <v>935</v>
      </c>
      <c r="AV60" s="24">
        <v>766</v>
      </c>
      <c r="AW60" s="24">
        <v>798</v>
      </c>
      <c r="AX60" s="24">
        <v>828</v>
      </c>
      <c r="AY60" s="24">
        <v>873</v>
      </c>
      <c r="AZ60" s="24">
        <v>678</v>
      </c>
      <c r="BA60" s="24">
        <v>740</v>
      </c>
      <c r="BB60" s="24">
        <v>794</v>
      </c>
      <c r="BC60" s="24">
        <v>859</v>
      </c>
      <c r="BD60" s="24">
        <v>683</v>
      </c>
      <c r="BE60" s="24">
        <v>747</v>
      </c>
      <c r="BF60" s="24">
        <v>815</v>
      </c>
      <c r="BG60" s="24">
        <v>712</v>
      </c>
      <c r="BH60" s="24">
        <v>909</v>
      </c>
      <c r="BI60" s="25">
        <v>1007</v>
      </c>
      <c r="BJ60" s="24">
        <v>1126</v>
      </c>
      <c r="BK60" s="24">
        <v>1224</v>
      </c>
      <c r="BL60" s="24">
        <v>1093</v>
      </c>
      <c r="BM60" s="24">
        <v>1207</v>
      </c>
      <c r="BN60" s="24">
        <v>1308</v>
      </c>
      <c r="BO60" s="24">
        <v>1098</v>
      </c>
      <c r="BP60" s="232">
        <v>1186</v>
      </c>
      <c r="BQ60" s="24">
        <v>1329</v>
      </c>
      <c r="BR60" s="232">
        <v>1427</v>
      </c>
      <c r="BS60" s="24">
        <v>1248.5073407846701</v>
      </c>
      <c r="BT60" s="24">
        <v>1323.5434867709901</v>
      </c>
      <c r="BU60" s="24">
        <v>1538.16049786965</v>
      </c>
      <c r="BV60" s="24">
        <f>1649.3034072737-35</f>
        <v>1614.3034072737</v>
      </c>
      <c r="BW60" s="25">
        <v>1415.9471724044899</v>
      </c>
      <c r="BX60" s="25">
        <v>1529.0269816428399</v>
      </c>
      <c r="BY60" s="25">
        <v>1839.2725028754201</v>
      </c>
      <c r="BZ60" s="24">
        <v>1945.3174540872683</v>
      </c>
      <c r="CA60" s="24">
        <v>1837.5128891920999</v>
      </c>
      <c r="CB60" s="24">
        <v>2172.8362374911799</v>
      </c>
      <c r="CC60" s="24">
        <v>2615.5433411971198</v>
      </c>
      <c r="CD60" s="24">
        <v>3172.1498589487301</v>
      </c>
      <c r="CE60" s="24">
        <v>3669.9004980705199</v>
      </c>
      <c r="CF60" s="24">
        <v>4119.0467569329603</v>
      </c>
      <c r="CG60" s="24">
        <v>4673.3090640702303</v>
      </c>
      <c r="CH60" s="24">
        <v>4700.0495713220498</v>
      </c>
      <c r="CI60" s="24">
        <v>5099.2090795024997</v>
      </c>
      <c r="CJ60" s="24">
        <v>3888.9654044908098</v>
      </c>
      <c r="CK60" s="24">
        <v>4420.9942312427302</v>
      </c>
      <c r="CL60" s="24">
        <v>4950.7650541246503</v>
      </c>
      <c r="CM60" s="24">
        <v>5456.3068657290696</v>
      </c>
      <c r="CN60" s="24">
        <v>4738.3003073834898</v>
      </c>
      <c r="CO60" s="24">
        <v>5293.13041461791</v>
      </c>
      <c r="CP60" s="24">
        <v>5832.4905086323297</v>
      </c>
      <c r="CQ60" s="24">
        <v>6399.1495859523275</v>
      </c>
      <c r="CR60" s="25">
        <v>5128.0021144523198</v>
      </c>
      <c r="CS60" s="25">
        <v>5699.6731385523099</v>
      </c>
      <c r="CT60" s="25">
        <v>6319.567056332331</v>
      </c>
      <c r="CU60" s="69">
        <v>7034.7601739623296</v>
      </c>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row>
    <row r="61" spans="1:264" ht="14.25" customHeight="1" x14ac:dyDescent="0.2">
      <c r="A61" s="18" t="s">
        <v>206</v>
      </c>
      <c r="B61" s="182"/>
      <c r="C61" s="19" t="s">
        <v>34</v>
      </c>
      <c r="D61" s="19" t="s">
        <v>34</v>
      </c>
      <c r="E61" s="19" t="s">
        <v>34</v>
      </c>
      <c r="F61" s="19" t="s">
        <v>34</v>
      </c>
      <c r="G61" s="19" t="s">
        <v>34</v>
      </c>
      <c r="H61" s="19" t="s">
        <v>34</v>
      </c>
      <c r="I61" s="19" t="s">
        <v>34</v>
      </c>
      <c r="J61" s="19" t="s">
        <v>34</v>
      </c>
      <c r="K61" s="19" t="s">
        <v>34</v>
      </c>
      <c r="L61" s="19" t="s">
        <v>34</v>
      </c>
      <c r="M61" s="19" t="s">
        <v>34</v>
      </c>
      <c r="N61" s="19" t="s">
        <v>34</v>
      </c>
      <c r="O61" s="19" t="s">
        <v>34</v>
      </c>
      <c r="P61" s="19" t="s">
        <v>34</v>
      </c>
      <c r="Q61" s="19" t="s">
        <v>34</v>
      </c>
      <c r="R61" s="19" t="s">
        <v>34</v>
      </c>
      <c r="S61" s="19" t="s">
        <v>34</v>
      </c>
      <c r="T61" s="19" t="s">
        <v>34</v>
      </c>
      <c r="U61" s="19" t="s">
        <v>34</v>
      </c>
      <c r="V61" s="19" t="s">
        <v>34</v>
      </c>
      <c r="W61" s="19" t="s">
        <v>34</v>
      </c>
      <c r="X61" s="19" t="s">
        <v>34</v>
      </c>
      <c r="Y61" s="19" t="s">
        <v>34</v>
      </c>
      <c r="Z61" s="19" t="s">
        <v>34</v>
      </c>
      <c r="AA61" s="269" t="s">
        <v>49</v>
      </c>
      <c r="AB61" s="269" t="s">
        <v>49</v>
      </c>
      <c r="AC61" s="269" t="s">
        <v>49</v>
      </c>
      <c r="AD61" s="269" t="s">
        <v>49</v>
      </c>
      <c r="AE61" s="269" t="s">
        <v>49</v>
      </c>
      <c r="AF61" s="269" t="s">
        <v>49</v>
      </c>
      <c r="AG61" s="269" t="s">
        <v>49</v>
      </c>
      <c r="AH61" s="269" t="s">
        <v>49</v>
      </c>
      <c r="AI61" s="269" t="s">
        <v>49</v>
      </c>
      <c r="AJ61" s="269" t="s">
        <v>49</v>
      </c>
      <c r="AK61" s="269" t="s">
        <v>49</v>
      </c>
      <c r="AL61" s="269" t="s">
        <v>49</v>
      </c>
      <c r="AM61" s="269" t="s">
        <v>49</v>
      </c>
      <c r="AN61" s="269" t="s">
        <v>49</v>
      </c>
      <c r="AO61" s="269" t="s">
        <v>49</v>
      </c>
      <c r="AP61" s="269" t="s">
        <v>49</v>
      </c>
      <c r="AQ61" s="269" t="s">
        <v>49</v>
      </c>
      <c r="AR61" s="269" t="s">
        <v>49</v>
      </c>
      <c r="AS61" s="269" t="s">
        <v>49</v>
      </c>
      <c r="AT61" s="269" t="s">
        <v>49</v>
      </c>
      <c r="AU61" s="269" t="s">
        <v>49</v>
      </c>
      <c r="AV61" s="269" t="s">
        <v>49</v>
      </c>
      <c r="AW61" s="269" t="s">
        <v>49</v>
      </c>
      <c r="AX61" s="269" t="s">
        <v>49</v>
      </c>
      <c r="AY61" s="269" t="s">
        <v>49</v>
      </c>
      <c r="AZ61" s="269" t="s">
        <v>49</v>
      </c>
      <c r="BA61" s="269" t="s">
        <v>49</v>
      </c>
      <c r="BB61" s="269" t="s">
        <v>49</v>
      </c>
      <c r="BC61" s="269" t="s">
        <v>49</v>
      </c>
      <c r="BD61" s="269" t="s">
        <v>49</v>
      </c>
      <c r="BE61" s="269" t="s">
        <v>49</v>
      </c>
      <c r="BF61" s="269" t="s">
        <v>49</v>
      </c>
      <c r="BG61" s="269" t="s">
        <v>49</v>
      </c>
      <c r="BH61" s="269" t="s">
        <v>49</v>
      </c>
      <c r="BI61" s="269" t="s">
        <v>49</v>
      </c>
      <c r="BJ61" s="269" t="s">
        <v>49</v>
      </c>
      <c r="BK61" s="269" t="s">
        <v>49</v>
      </c>
      <c r="BL61" s="269" t="s">
        <v>49</v>
      </c>
      <c r="BM61" s="269" t="s">
        <v>49</v>
      </c>
      <c r="BN61" s="269" t="s">
        <v>49</v>
      </c>
      <c r="BO61" s="269" t="s">
        <v>49</v>
      </c>
      <c r="BP61" s="269" t="s">
        <v>49</v>
      </c>
      <c r="BQ61" s="269" t="s">
        <v>49</v>
      </c>
      <c r="BR61" s="19" t="s">
        <v>49</v>
      </c>
      <c r="BS61" s="19" t="s">
        <v>49</v>
      </c>
      <c r="BT61" s="24" t="s">
        <v>49</v>
      </c>
      <c r="BU61" s="19" t="s">
        <v>49</v>
      </c>
      <c r="BV61" s="24" t="s">
        <v>49</v>
      </c>
      <c r="BW61" s="270">
        <v>2.8928588797146584</v>
      </c>
      <c r="BX61" s="270">
        <v>2.798882338658685</v>
      </c>
      <c r="BY61" s="270">
        <v>3.4692793277289207</v>
      </c>
      <c r="BZ61" s="57">
        <v>3.4516690427899892</v>
      </c>
      <c r="CA61" s="57">
        <v>2.5063570124446555</v>
      </c>
      <c r="CB61" s="57">
        <v>2.7856784753579151</v>
      </c>
      <c r="CC61" s="57">
        <v>3.0780976953440611</v>
      </c>
      <c r="CD61" s="57">
        <v>4.8517466646414364</v>
      </c>
      <c r="CE61" s="57">
        <v>4.324088968363041</v>
      </c>
      <c r="CF61" s="57">
        <v>4.72</v>
      </c>
      <c r="CG61" s="57">
        <v>4.4885668454660204</v>
      </c>
      <c r="CH61" s="57">
        <v>4.7594033974381098</v>
      </c>
      <c r="CI61" s="57">
        <v>4.45</v>
      </c>
      <c r="CJ61" s="57">
        <v>4.4400000000000004</v>
      </c>
      <c r="CK61" s="57">
        <v>4.6400174041761799</v>
      </c>
      <c r="CL61" s="57">
        <v>5.45</v>
      </c>
      <c r="CM61" s="57">
        <v>5.6</v>
      </c>
      <c r="CN61" s="57">
        <v>5.4</v>
      </c>
      <c r="CO61" s="57">
        <v>5.36</v>
      </c>
      <c r="CP61" s="57">
        <v>5.03</v>
      </c>
      <c r="CQ61" s="57">
        <v>5.0199999999999996</v>
      </c>
      <c r="CR61" s="270">
        <v>5.17</v>
      </c>
      <c r="CS61" s="270">
        <v>4.7699999999999996</v>
      </c>
      <c r="CT61" s="270">
        <v>5.0299999999999994</v>
      </c>
      <c r="CU61" s="405">
        <v>4.63</v>
      </c>
    </row>
    <row r="62" spans="1:264" x14ac:dyDescent="0.2">
      <c r="A62" s="18" t="s">
        <v>218</v>
      </c>
      <c r="B62" s="268"/>
      <c r="C62" s="19" t="s">
        <v>34</v>
      </c>
      <c r="D62" s="19" t="s">
        <v>34</v>
      </c>
      <c r="E62" s="19" t="s">
        <v>34</v>
      </c>
      <c r="F62" s="19" t="s">
        <v>34</v>
      </c>
      <c r="G62" s="19" t="s">
        <v>34</v>
      </c>
      <c r="H62" s="19" t="s">
        <v>34</v>
      </c>
      <c r="I62" s="19" t="s">
        <v>34</v>
      </c>
      <c r="J62" s="19" t="s">
        <v>34</v>
      </c>
      <c r="K62" s="19" t="s">
        <v>34</v>
      </c>
      <c r="L62" s="19" t="s">
        <v>34</v>
      </c>
      <c r="M62" s="19" t="s">
        <v>34</v>
      </c>
      <c r="N62" s="19" t="s">
        <v>34</v>
      </c>
      <c r="O62" s="19" t="s">
        <v>34</v>
      </c>
      <c r="P62" s="19" t="s">
        <v>34</v>
      </c>
      <c r="Q62" s="19" t="s">
        <v>34</v>
      </c>
      <c r="R62" s="19" t="s">
        <v>34</v>
      </c>
      <c r="S62" s="19" t="s">
        <v>34</v>
      </c>
      <c r="T62" s="19" t="s">
        <v>34</v>
      </c>
      <c r="U62" s="19" t="s">
        <v>34</v>
      </c>
      <c r="V62" s="19" t="s">
        <v>34</v>
      </c>
      <c r="W62" s="19" t="s">
        <v>34</v>
      </c>
      <c r="X62" s="19" t="s">
        <v>34</v>
      </c>
      <c r="Y62" s="19" t="s">
        <v>34</v>
      </c>
      <c r="Z62" s="19" t="s">
        <v>34</v>
      </c>
      <c r="AA62" s="269" t="s">
        <v>49</v>
      </c>
      <c r="AB62" s="269" t="s">
        <v>49</v>
      </c>
      <c r="AC62" s="269" t="s">
        <v>49</v>
      </c>
      <c r="AD62" s="269" t="s">
        <v>49</v>
      </c>
      <c r="AE62" s="269" t="s">
        <v>49</v>
      </c>
      <c r="AF62" s="269" t="s">
        <v>49</v>
      </c>
      <c r="AG62" s="269" t="s">
        <v>49</v>
      </c>
      <c r="AH62" s="269" t="s">
        <v>49</v>
      </c>
      <c r="AI62" s="269" t="s">
        <v>49</v>
      </c>
      <c r="AJ62" s="269" t="s">
        <v>49</v>
      </c>
      <c r="AK62" s="269" t="s">
        <v>49</v>
      </c>
      <c r="AL62" s="269" t="s">
        <v>49</v>
      </c>
      <c r="AM62" s="269" t="s">
        <v>49</v>
      </c>
      <c r="AN62" s="269" t="s">
        <v>49</v>
      </c>
      <c r="AO62" s="269" t="s">
        <v>49</v>
      </c>
      <c r="AP62" s="269" t="s">
        <v>49</v>
      </c>
      <c r="AQ62" s="269" t="s">
        <v>49</v>
      </c>
      <c r="AR62" s="269" t="s">
        <v>49</v>
      </c>
      <c r="AS62" s="269" t="s">
        <v>49</v>
      </c>
      <c r="AT62" s="269" t="s">
        <v>49</v>
      </c>
      <c r="AU62" s="269" t="s">
        <v>49</v>
      </c>
      <c r="AV62" s="269" t="s">
        <v>49</v>
      </c>
      <c r="AW62" s="269" t="s">
        <v>49</v>
      </c>
      <c r="AX62" s="269" t="s">
        <v>49</v>
      </c>
      <c r="AY62" s="269" t="s">
        <v>49</v>
      </c>
      <c r="AZ62" s="269" t="s">
        <v>49</v>
      </c>
      <c r="BA62" s="269" t="s">
        <v>49</v>
      </c>
      <c r="BB62" s="269" t="s">
        <v>49</v>
      </c>
      <c r="BC62" s="269" t="s">
        <v>49</v>
      </c>
      <c r="BD62" s="269" t="s">
        <v>49</v>
      </c>
      <c r="BE62" s="269" t="s">
        <v>49</v>
      </c>
      <c r="BF62" s="269" t="s">
        <v>49</v>
      </c>
      <c r="BG62" s="269" t="s">
        <v>49</v>
      </c>
      <c r="BH62" s="269" t="s">
        <v>49</v>
      </c>
      <c r="BI62" s="269" t="s">
        <v>49</v>
      </c>
      <c r="BJ62" s="269" t="s">
        <v>49</v>
      </c>
      <c r="BK62" s="269" t="s">
        <v>49</v>
      </c>
      <c r="BL62" s="269" t="s">
        <v>49</v>
      </c>
      <c r="BM62" s="269" t="s">
        <v>49</v>
      </c>
      <c r="BN62" s="269" t="s">
        <v>49</v>
      </c>
      <c r="BO62" s="269" t="s">
        <v>49</v>
      </c>
      <c r="BP62" s="269" t="s">
        <v>49</v>
      </c>
      <c r="BQ62" s="269" t="s">
        <v>49</v>
      </c>
      <c r="BR62" s="269" t="s">
        <v>49</v>
      </c>
      <c r="BS62" s="269">
        <v>0.1633</v>
      </c>
      <c r="BT62" s="57">
        <v>0.156</v>
      </c>
      <c r="BU62" s="57">
        <v>0.17699999999999999</v>
      </c>
      <c r="BV62" s="57">
        <v>0.17599999999999999</v>
      </c>
      <c r="BW62" s="270">
        <v>0.16</v>
      </c>
      <c r="BX62" s="270">
        <v>0.151</v>
      </c>
      <c r="BY62" s="270">
        <v>0.18685346353307411</v>
      </c>
      <c r="BZ62" s="57">
        <v>0.16858532715591101</v>
      </c>
      <c r="CA62" s="57">
        <v>0.17277172804745999</v>
      </c>
      <c r="CB62" s="57">
        <v>0.16262894564674699</v>
      </c>
      <c r="CC62" s="57">
        <v>0.17939962743592</v>
      </c>
      <c r="CD62" s="57">
        <v>0.24379043893188301</v>
      </c>
      <c r="CE62" s="57">
        <v>0.23872019612043999</v>
      </c>
      <c r="CF62" s="57">
        <v>0.24979999999999999</v>
      </c>
      <c r="CG62" s="57">
        <v>0.26150000000000001</v>
      </c>
      <c r="CH62" s="57">
        <v>0.2404</v>
      </c>
      <c r="CI62" s="57">
        <v>0.23119999999999999</v>
      </c>
      <c r="CJ62" s="57">
        <v>0.24033784331820188</v>
      </c>
      <c r="CK62" s="57">
        <v>0.25288698849425328</v>
      </c>
      <c r="CL62" s="57">
        <v>0.26179999999999998</v>
      </c>
      <c r="CM62" s="57">
        <v>0.26318734167699609</v>
      </c>
      <c r="CN62" s="57">
        <v>0.28179999999999999</v>
      </c>
      <c r="CO62" s="57">
        <v>0.29060000000000002</v>
      </c>
      <c r="CP62" s="57">
        <v>0.24735697804455645</v>
      </c>
      <c r="CQ62" s="57">
        <v>0.24294007351561228</v>
      </c>
      <c r="CR62" s="270">
        <v>0.25456471404556102</v>
      </c>
      <c r="CS62" s="270">
        <v>0.24729999999999999</v>
      </c>
      <c r="CT62" s="270">
        <v>0.23039999999999999</v>
      </c>
      <c r="CU62" s="405">
        <v>0.26069999999999999</v>
      </c>
      <c r="CW62" s="373"/>
      <c r="CY62" s="374"/>
    </row>
    <row r="63" spans="1:264" x14ac:dyDescent="0.2">
      <c r="A63" s="18" t="s">
        <v>198</v>
      </c>
      <c r="B63" s="268"/>
      <c r="C63" s="19" t="s">
        <v>34</v>
      </c>
      <c r="D63" s="19" t="s">
        <v>34</v>
      </c>
      <c r="E63" s="19" t="s">
        <v>34</v>
      </c>
      <c r="F63" s="19" t="s">
        <v>34</v>
      </c>
      <c r="G63" s="19" t="s">
        <v>34</v>
      </c>
      <c r="H63" s="19" t="s">
        <v>34</v>
      </c>
      <c r="I63" s="19" t="s">
        <v>34</v>
      </c>
      <c r="J63" s="19" t="s">
        <v>34</v>
      </c>
      <c r="K63" s="19" t="s">
        <v>34</v>
      </c>
      <c r="L63" s="19" t="s">
        <v>34</v>
      </c>
      <c r="M63" s="19" t="s">
        <v>34</v>
      </c>
      <c r="N63" s="19" t="s">
        <v>34</v>
      </c>
      <c r="O63" s="19" t="s">
        <v>34</v>
      </c>
      <c r="P63" s="19" t="s">
        <v>34</v>
      </c>
      <c r="Q63" s="19" t="s">
        <v>34</v>
      </c>
      <c r="R63" s="19" t="s">
        <v>34</v>
      </c>
      <c r="S63" s="19" t="s">
        <v>34</v>
      </c>
      <c r="T63" s="19" t="s">
        <v>34</v>
      </c>
      <c r="U63" s="19" t="s">
        <v>34</v>
      </c>
      <c r="V63" s="19" t="s">
        <v>34</v>
      </c>
      <c r="W63" s="19" t="s">
        <v>34</v>
      </c>
      <c r="X63" s="19" t="s">
        <v>34</v>
      </c>
      <c r="Y63" s="19" t="s">
        <v>34</v>
      </c>
      <c r="Z63" s="19" t="s">
        <v>34</v>
      </c>
      <c r="AA63" s="269" t="s">
        <v>49</v>
      </c>
      <c r="AB63" s="269" t="s">
        <v>49</v>
      </c>
      <c r="AC63" s="269" t="s">
        <v>49</v>
      </c>
      <c r="AD63" s="269" t="s">
        <v>49</v>
      </c>
      <c r="AE63" s="269" t="s">
        <v>49</v>
      </c>
      <c r="AF63" s="269" t="s">
        <v>49</v>
      </c>
      <c r="AG63" s="269" t="s">
        <v>49</v>
      </c>
      <c r="AH63" s="269" t="s">
        <v>49</v>
      </c>
      <c r="AI63" s="269" t="s">
        <v>49</v>
      </c>
      <c r="AJ63" s="269" t="s">
        <v>49</v>
      </c>
      <c r="AK63" s="269" t="s">
        <v>49</v>
      </c>
      <c r="AL63" s="269" t="s">
        <v>49</v>
      </c>
      <c r="AM63" s="269" t="s">
        <v>49</v>
      </c>
      <c r="AN63" s="269" t="s">
        <v>49</v>
      </c>
      <c r="AO63" s="269" t="s">
        <v>49</v>
      </c>
      <c r="AP63" s="269" t="s">
        <v>49</v>
      </c>
      <c r="AQ63" s="269" t="s">
        <v>49</v>
      </c>
      <c r="AR63" s="269" t="s">
        <v>49</v>
      </c>
      <c r="AS63" s="269" t="s">
        <v>49</v>
      </c>
      <c r="AT63" s="269" t="s">
        <v>49</v>
      </c>
      <c r="AU63" s="269" t="s">
        <v>49</v>
      </c>
      <c r="AV63" s="269" t="s">
        <v>49</v>
      </c>
      <c r="AW63" s="269" t="s">
        <v>49</v>
      </c>
      <c r="AX63" s="269" t="s">
        <v>49</v>
      </c>
      <c r="AY63" s="269" t="s">
        <v>49</v>
      </c>
      <c r="AZ63" s="269" t="s">
        <v>49</v>
      </c>
      <c r="BA63" s="269" t="s">
        <v>49</v>
      </c>
      <c r="BB63" s="269" t="s">
        <v>49</v>
      </c>
      <c r="BC63" s="269" t="s">
        <v>49</v>
      </c>
      <c r="BD63" s="269" t="s">
        <v>49</v>
      </c>
      <c r="BE63" s="269" t="s">
        <v>49</v>
      </c>
      <c r="BF63" s="269" t="s">
        <v>49</v>
      </c>
      <c r="BG63" s="269" t="s">
        <v>49</v>
      </c>
      <c r="BH63" s="269" t="s">
        <v>49</v>
      </c>
      <c r="BI63" s="269" t="s">
        <v>49</v>
      </c>
      <c r="BJ63" s="269" t="s">
        <v>49</v>
      </c>
      <c r="BK63" s="269" t="s">
        <v>49</v>
      </c>
      <c r="BL63" s="269" t="s">
        <v>49</v>
      </c>
      <c r="BM63" s="269" t="s">
        <v>49</v>
      </c>
      <c r="BN63" s="269" t="s">
        <v>49</v>
      </c>
      <c r="BO63" s="269" t="s">
        <v>49</v>
      </c>
      <c r="BP63" s="269" t="s">
        <v>49</v>
      </c>
      <c r="BQ63" s="269" t="s">
        <v>49</v>
      </c>
      <c r="BR63" s="269" t="s">
        <v>49</v>
      </c>
      <c r="BS63" s="269">
        <v>2.2000000000000002</v>
      </c>
      <c r="BT63" s="57">
        <v>2.12</v>
      </c>
      <c r="BU63" s="57">
        <v>2.36</v>
      </c>
      <c r="BV63" s="57">
        <v>2.35</v>
      </c>
      <c r="BW63" s="270">
        <v>2.14</v>
      </c>
      <c r="BX63" s="270">
        <v>2.04</v>
      </c>
      <c r="BY63" s="270">
        <v>2.46</v>
      </c>
      <c r="BZ63" s="57">
        <v>2.2265576587614606</v>
      </c>
      <c r="CA63" s="57">
        <v>2.2627896766384619</v>
      </c>
      <c r="CB63" s="57">
        <v>2.1348904011368774</v>
      </c>
      <c r="CC63" s="57">
        <v>2.3432497892143873</v>
      </c>
      <c r="CD63" s="57">
        <v>3.0473804866485388</v>
      </c>
      <c r="CE63" s="57">
        <v>2.9840024515055057</v>
      </c>
      <c r="CF63" s="57">
        <v>3.1218878235735499</v>
      </c>
      <c r="CG63" s="57">
        <v>3.2691704147795475</v>
      </c>
      <c r="CH63" s="57">
        <v>3.01</v>
      </c>
      <c r="CI63" s="57">
        <v>2.89</v>
      </c>
      <c r="CJ63" s="57">
        <v>3.0042230414775233</v>
      </c>
      <c r="CK63" s="57">
        <v>3.1610873560511998</v>
      </c>
      <c r="CL63" s="57">
        <v>3.2719318761840746</v>
      </c>
      <c r="CM63" s="57">
        <v>3.2898417709624512</v>
      </c>
      <c r="CN63" s="57">
        <v>3.5220838636916376</v>
      </c>
      <c r="CO63" s="57">
        <v>3.632399237790775</v>
      </c>
      <c r="CP63" s="57">
        <v>3.0919622255569554</v>
      </c>
      <c r="CQ63" s="57">
        <v>3.0367509189451529</v>
      </c>
      <c r="CR63" s="270">
        <v>3.1820589255695086</v>
      </c>
      <c r="CS63" s="270">
        <v>3.0914193825566976</v>
      </c>
      <c r="CT63" s="270">
        <v>2.8808479532163744</v>
      </c>
      <c r="CU63" s="405">
        <v>3.2590449586899912</v>
      </c>
    </row>
    <row r="64" spans="1:264" ht="14.25" customHeight="1" x14ac:dyDescent="0.2">
      <c r="A64" s="18" t="s">
        <v>207</v>
      </c>
      <c r="B64" s="268"/>
      <c r="C64" s="19" t="s">
        <v>34</v>
      </c>
      <c r="D64" s="19" t="s">
        <v>34</v>
      </c>
      <c r="E64" s="19" t="s">
        <v>34</v>
      </c>
      <c r="F64" s="19" t="s">
        <v>34</v>
      </c>
      <c r="G64" s="19" t="s">
        <v>34</v>
      </c>
      <c r="H64" s="19" t="s">
        <v>34</v>
      </c>
      <c r="I64" s="19" t="s">
        <v>34</v>
      </c>
      <c r="J64" s="19" t="s">
        <v>34</v>
      </c>
      <c r="K64" s="19" t="s">
        <v>34</v>
      </c>
      <c r="L64" s="19" t="s">
        <v>34</v>
      </c>
      <c r="M64" s="19" t="s">
        <v>34</v>
      </c>
      <c r="N64" s="19" t="s">
        <v>34</v>
      </c>
      <c r="O64" s="19" t="s">
        <v>34</v>
      </c>
      <c r="P64" s="19" t="s">
        <v>34</v>
      </c>
      <c r="Q64" s="19" t="s">
        <v>34</v>
      </c>
      <c r="R64" s="19" t="s">
        <v>34</v>
      </c>
      <c r="S64" s="19" t="s">
        <v>34</v>
      </c>
      <c r="T64" s="19" t="s">
        <v>34</v>
      </c>
      <c r="U64" s="19" t="s">
        <v>34</v>
      </c>
      <c r="V64" s="19" t="s">
        <v>34</v>
      </c>
      <c r="W64" s="19" t="s">
        <v>34</v>
      </c>
      <c r="X64" s="19" t="s">
        <v>34</v>
      </c>
      <c r="Y64" s="19" t="s">
        <v>34</v>
      </c>
      <c r="Z64" s="19" t="s">
        <v>34</v>
      </c>
      <c r="AA64" s="57">
        <v>2.33</v>
      </c>
      <c r="AB64" s="57">
        <v>2.14</v>
      </c>
      <c r="AC64" s="270">
        <v>2.33</v>
      </c>
      <c r="AD64" s="270">
        <v>1.78</v>
      </c>
      <c r="AE64" s="270">
        <v>1.63</v>
      </c>
      <c r="AF64" s="270">
        <v>1.77</v>
      </c>
      <c r="AG64" s="270">
        <v>1.93</v>
      </c>
      <c r="AH64" s="270">
        <v>1.68</v>
      </c>
      <c r="AI64" s="270">
        <v>1.58</v>
      </c>
      <c r="AJ64" s="57">
        <v>1.67</v>
      </c>
      <c r="AK64" s="271">
        <v>1.76</v>
      </c>
      <c r="AL64" s="57">
        <v>1.71</v>
      </c>
      <c r="AM64" s="270">
        <v>1.55</v>
      </c>
      <c r="AN64" s="57">
        <v>1.65</v>
      </c>
      <c r="AO64" s="57">
        <v>1.69</v>
      </c>
      <c r="AP64" s="57">
        <v>1.84</v>
      </c>
      <c r="AQ64" s="57">
        <v>2.08</v>
      </c>
      <c r="AR64" s="57">
        <v>2.34</v>
      </c>
      <c r="AS64" s="271">
        <v>2.08</v>
      </c>
      <c r="AT64" s="270">
        <v>2.06</v>
      </c>
      <c r="AU64" s="270">
        <v>2.2200000000000002</v>
      </c>
      <c r="AV64" s="57">
        <v>2.34</v>
      </c>
      <c r="AW64" s="57">
        <v>2.41</v>
      </c>
      <c r="AX64" s="57">
        <v>2.21</v>
      </c>
      <c r="AY64" s="57">
        <v>2.2799999999999998</v>
      </c>
      <c r="AZ64" s="57">
        <v>2.21</v>
      </c>
      <c r="BA64" s="57">
        <v>2.2200000000000002</v>
      </c>
      <c r="BB64" s="57">
        <v>1.82</v>
      </c>
      <c r="BC64" s="57">
        <v>1.69</v>
      </c>
      <c r="BD64" s="57">
        <v>1.59</v>
      </c>
      <c r="BE64" s="57">
        <v>1.35</v>
      </c>
      <c r="BF64" s="57">
        <v>1.72</v>
      </c>
      <c r="BG64" s="57">
        <v>1.74</v>
      </c>
      <c r="BH64" s="57">
        <v>1.62</v>
      </c>
      <c r="BI64" s="270">
        <v>1.91</v>
      </c>
      <c r="BJ64" s="57">
        <v>1.67</v>
      </c>
      <c r="BK64" s="57">
        <v>1.62</v>
      </c>
      <c r="BL64" s="57">
        <v>1.57</v>
      </c>
      <c r="BM64" s="57">
        <v>1.66</v>
      </c>
      <c r="BN64" s="57">
        <v>1.66</v>
      </c>
      <c r="BO64" s="57">
        <v>1.62</v>
      </c>
      <c r="BP64" s="271">
        <v>1.6</v>
      </c>
      <c r="BQ64" s="57">
        <v>1.65</v>
      </c>
      <c r="BR64" s="271">
        <v>1.55</v>
      </c>
      <c r="BS64" s="57">
        <v>1.48</v>
      </c>
      <c r="BT64" s="57">
        <v>1.43</v>
      </c>
      <c r="BU64" s="57">
        <v>1.34</v>
      </c>
      <c r="BV64" s="57">
        <v>1.34</v>
      </c>
      <c r="BW64" s="270">
        <v>1.26</v>
      </c>
      <c r="BX64" s="270">
        <v>1.23</v>
      </c>
      <c r="BY64" s="270">
        <v>1.32</v>
      </c>
      <c r="BZ64" s="57">
        <v>1.3</v>
      </c>
      <c r="CA64" s="57">
        <v>1.43</v>
      </c>
      <c r="CB64" s="57">
        <v>1.39</v>
      </c>
      <c r="CC64" s="57">
        <v>1.46</v>
      </c>
      <c r="CD64" s="57">
        <v>1.75</v>
      </c>
      <c r="CE64" s="57">
        <v>1.69</v>
      </c>
      <c r="CF64" s="57">
        <v>1.73</v>
      </c>
      <c r="CG64" s="57">
        <v>1.78</v>
      </c>
      <c r="CH64" s="57">
        <v>1.57</v>
      </c>
      <c r="CI64" s="57">
        <v>1.63</v>
      </c>
      <c r="CJ64" s="57">
        <v>1.6875621290159037</v>
      </c>
      <c r="CK64" s="57">
        <v>1.6346640299985407</v>
      </c>
      <c r="CL64" s="57">
        <v>1.6390741202372394</v>
      </c>
      <c r="CM64" s="57">
        <v>1.6525504055653581</v>
      </c>
      <c r="CN64" s="57">
        <v>1.6206104713143479</v>
      </c>
      <c r="CO64" s="57">
        <v>1.5829682348794829</v>
      </c>
      <c r="CP64" s="57">
        <v>1.4635763390461036</v>
      </c>
      <c r="CQ64" s="57">
        <v>1.3924828113689993</v>
      </c>
      <c r="CR64" s="270">
        <v>1.4375080785110814</v>
      </c>
      <c r="CS64" s="270">
        <v>1.42</v>
      </c>
      <c r="CT64" s="270">
        <v>1.41</v>
      </c>
      <c r="CU64" s="405">
        <v>1.5261385154186669</v>
      </c>
    </row>
    <row r="65" spans="1:264" x14ac:dyDescent="0.2">
      <c r="A65" s="6"/>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266"/>
      <c r="AD65" s="266"/>
      <c r="AE65" s="266"/>
      <c r="AF65" s="266"/>
      <c r="AG65" s="266"/>
      <c r="AH65" s="266"/>
      <c r="AI65" s="266"/>
      <c r="AJ65" s="90"/>
      <c r="AK65" s="267"/>
      <c r="AL65" s="90"/>
      <c r="AM65" s="266"/>
      <c r="AN65" s="90"/>
      <c r="AO65" s="90"/>
      <c r="AP65" s="90"/>
      <c r="AQ65" s="90"/>
      <c r="AR65" s="90"/>
      <c r="AS65" s="267"/>
      <c r="AT65" s="266"/>
      <c r="AU65" s="266"/>
      <c r="AV65" s="90"/>
      <c r="AW65" s="90"/>
      <c r="AX65" s="90"/>
      <c r="AY65" s="90"/>
      <c r="AZ65" s="90"/>
      <c r="BA65" s="90"/>
      <c r="BB65" s="90"/>
      <c r="BC65" s="90"/>
      <c r="BD65" s="90"/>
      <c r="BE65" s="90"/>
      <c r="BF65" s="90"/>
      <c r="BG65" s="90"/>
      <c r="BH65" s="90"/>
      <c r="BI65" s="266"/>
      <c r="BJ65" s="90"/>
      <c r="BK65" s="90"/>
      <c r="BL65" s="90"/>
      <c r="BM65" s="90"/>
      <c r="BN65" s="90"/>
      <c r="BO65" s="90"/>
      <c r="BP65" s="267"/>
      <c r="BQ65" s="90"/>
      <c r="BR65" s="267"/>
      <c r="BS65" s="90"/>
      <c r="BT65" s="90"/>
      <c r="BU65" s="90"/>
      <c r="BV65" s="90"/>
      <c r="BW65" s="266"/>
      <c r="BX65" s="266"/>
      <c r="BY65" s="266"/>
      <c r="BZ65" s="90"/>
      <c r="CA65" s="90"/>
      <c r="CB65" s="90"/>
      <c r="CC65" s="90"/>
      <c r="CD65" s="90"/>
      <c r="CE65" s="90"/>
      <c r="CF65" s="90"/>
      <c r="CG65" s="90"/>
      <c r="CH65" s="90"/>
      <c r="CI65" s="90"/>
      <c r="CJ65" s="90"/>
      <c r="CK65" s="90"/>
      <c r="CL65" s="90"/>
      <c r="CM65" s="90"/>
      <c r="CN65" s="90"/>
      <c r="CO65" s="90"/>
      <c r="CP65" s="90"/>
      <c r="CQ65" s="90"/>
      <c r="CR65" s="266"/>
      <c r="CS65" s="266"/>
      <c r="CT65" s="266"/>
      <c r="CU65" s="365"/>
    </row>
    <row r="66" spans="1:264" x14ac:dyDescent="0.2">
      <c r="A66" s="135" t="s">
        <v>121</v>
      </c>
      <c r="B66" s="25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5"/>
      <c r="AD66" s="15"/>
      <c r="AE66" s="15"/>
      <c r="AF66" s="15"/>
      <c r="AG66" s="15"/>
      <c r="AH66" s="15"/>
      <c r="AI66" s="15"/>
      <c r="AJ66" s="14"/>
      <c r="AK66" s="4"/>
      <c r="AL66" s="14"/>
      <c r="AM66" s="15"/>
      <c r="AN66" s="14"/>
      <c r="AO66" s="14"/>
      <c r="AP66" s="14"/>
      <c r="AQ66" s="14"/>
      <c r="AR66" s="14"/>
      <c r="AS66" s="4"/>
      <c r="AT66" s="15"/>
      <c r="AU66" s="15"/>
      <c r="AV66" s="14"/>
      <c r="AW66" s="14"/>
      <c r="AX66" s="14"/>
      <c r="AY66" s="14"/>
      <c r="AZ66" s="14"/>
      <c r="BA66" s="14"/>
      <c r="BB66" s="14"/>
      <c r="BC66" s="14"/>
      <c r="BD66" s="14"/>
      <c r="BE66" s="14"/>
      <c r="BF66" s="14"/>
      <c r="BG66" s="14"/>
      <c r="BH66" s="14"/>
      <c r="BI66" s="15"/>
      <c r="BJ66" s="14"/>
      <c r="BK66" s="14"/>
      <c r="BL66" s="14"/>
      <c r="BM66" s="14"/>
      <c r="BN66" s="14"/>
      <c r="BO66" s="14"/>
      <c r="BP66" s="4"/>
      <c r="BQ66" s="14"/>
      <c r="BR66" s="4"/>
      <c r="BS66" s="14"/>
      <c r="BT66" s="14"/>
      <c r="BU66" s="14"/>
      <c r="BV66" s="14"/>
      <c r="BW66" s="15"/>
      <c r="BX66" s="15"/>
      <c r="BY66" s="15"/>
      <c r="BZ66" s="14"/>
      <c r="CA66" s="14"/>
      <c r="CB66" s="14"/>
      <c r="CC66" s="14"/>
      <c r="CD66" s="14"/>
      <c r="CE66" s="14"/>
      <c r="CF66" s="14"/>
      <c r="CG66" s="14"/>
      <c r="CH66" s="14"/>
      <c r="CI66" s="14"/>
      <c r="CJ66" s="14"/>
      <c r="CK66" s="14"/>
      <c r="CL66" s="14"/>
      <c r="CM66" s="14"/>
      <c r="CN66" s="14"/>
      <c r="CO66" s="14"/>
      <c r="CP66" s="14"/>
      <c r="CQ66" s="14"/>
      <c r="CR66" s="15"/>
      <c r="CS66" s="15"/>
      <c r="CT66" s="15"/>
      <c r="CU66" s="361"/>
    </row>
    <row r="67" spans="1:264" x14ac:dyDescent="0.2">
      <c r="A67" s="23" t="s">
        <v>129</v>
      </c>
      <c r="B67" s="231"/>
      <c r="C67" s="51" t="s">
        <v>34</v>
      </c>
      <c r="D67" s="51" t="s">
        <v>34</v>
      </c>
      <c r="E67" s="51" t="s">
        <v>34</v>
      </c>
      <c r="F67" s="51" t="s">
        <v>34</v>
      </c>
      <c r="G67" s="51" t="s">
        <v>34</v>
      </c>
      <c r="H67" s="51" t="s">
        <v>34</v>
      </c>
      <c r="I67" s="51" t="s">
        <v>34</v>
      </c>
      <c r="J67" s="51" t="s">
        <v>34</v>
      </c>
      <c r="K67" s="51" t="s">
        <v>34</v>
      </c>
      <c r="L67" s="51" t="s">
        <v>34</v>
      </c>
      <c r="M67" s="51" t="s">
        <v>34</v>
      </c>
      <c r="N67" s="51" t="s">
        <v>34</v>
      </c>
      <c r="O67" s="51" t="s">
        <v>34</v>
      </c>
      <c r="P67" s="51" t="s">
        <v>34</v>
      </c>
      <c r="Q67" s="51" t="s">
        <v>34</v>
      </c>
      <c r="R67" s="51" t="s">
        <v>34</v>
      </c>
      <c r="S67" s="51" t="s">
        <v>34</v>
      </c>
      <c r="T67" s="51" t="s">
        <v>34</v>
      </c>
      <c r="U67" s="51" t="s">
        <v>34</v>
      </c>
      <c r="V67" s="51" t="s">
        <v>34</v>
      </c>
      <c r="W67" s="51" t="s">
        <v>34</v>
      </c>
      <c r="X67" s="51" t="s">
        <v>34</v>
      </c>
      <c r="Y67" s="51" t="s">
        <v>34</v>
      </c>
      <c r="Z67" s="51" t="s">
        <v>34</v>
      </c>
      <c r="AA67" s="51" t="s">
        <v>34</v>
      </c>
      <c r="AB67" s="51" t="s">
        <v>34</v>
      </c>
      <c r="AC67" s="51" t="s">
        <v>34</v>
      </c>
      <c r="AD67" s="51" t="s">
        <v>34</v>
      </c>
      <c r="AE67" s="51" t="s">
        <v>34</v>
      </c>
      <c r="AF67" s="51" t="s">
        <v>34</v>
      </c>
      <c r="AG67" s="51" t="s">
        <v>34</v>
      </c>
      <c r="AH67" s="51" t="s">
        <v>34</v>
      </c>
      <c r="AI67" s="52">
        <f t="shared" ref="AI67:CU67" si="55">+AI68-AH68</f>
        <v>4.98988105805077</v>
      </c>
      <c r="AJ67" s="52">
        <f t="shared" si="55"/>
        <v>7.6668771164552822</v>
      </c>
      <c r="AK67" s="52">
        <f t="shared" si="55"/>
        <v>6.956570530804612</v>
      </c>
      <c r="AL67" s="52">
        <f t="shared" si="55"/>
        <v>7.8238805970149201</v>
      </c>
      <c r="AM67" s="52">
        <f t="shared" si="55"/>
        <v>13.200000000000017</v>
      </c>
      <c r="AN67" s="52">
        <f t="shared" si="55"/>
        <v>9.3999999999999773</v>
      </c>
      <c r="AO67" s="52">
        <f t="shared" si="55"/>
        <v>5.3000000000000114</v>
      </c>
      <c r="AP67" s="52">
        <f t="shared" si="55"/>
        <v>6.3000000000000114</v>
      </c>
      <c r="AQ67" s="52">
        <f t="shared" si="55"/>
        <v>9.6999999999999886</v>
      </c>
      <c r="AR67" s="52">
        <f t="shared" si="55"/>
        <v>6.1999999999999886</v>
      </c>
      <c r="AS67" s="52">
        <f t="shared" si="55"/>
        <v>5.9000000000000341</v>
      </c>
      <c r="AT67" s="52">
        <f t="shared" si="55"/>
        <v>4.3999999999999773</v>
      </c>
      <c r="AU67" s="52">
        <f t="shared" si="55"/>
        <v>7.1000000000000227</v>
      </c>
      <c r="AV67" s="52">
        <f t="shared" si="55"/>
        <v>4.6399999999999864</v>
      </c>
      <c r="AW67" s="52">
        <f t="shared" si="55"/>
        <v>4.1929999999999836</v>
      </c>
      <c r="AX67" s="52">
        <f t="shared" si="55"/>
        <v>4.3530000000000086</v>
      </c>
      <c r="AY67" s="52">
        <f t="shared" si="55"/>
        <v>8.9139999999999873</v>
      </c>
      <c r="AZ67" s="52">
        <f t="shared" si="55"/>
        <v>6.1000000000000227</v>
      </c>
      <c r="BA67" s="52">
        <f t="shared" si="55"/>
        <v>8.5999999999999659</v>
      </c>
      <c r="BB67" s="52">
        <f t="shared" si="55"/>
        <v>9.6000000000000227</v>
      </c>
      <c r="BC67" s="52">
        <f t="shared" si="55"/>
        <v>14.5</v>
      </c>
      <c r="BD67" s="52">
        <f t="shared" si="55"/>
        <v>11.5</v>
      </c>
      <c r="BE67" s="52">
        <f t="shared" si="55"/>
        <v>12.800000000000011</v>
      </c>
      <c r="BF67" s="51">
        <f t="shared" si="55"/>
        <v>15.899999999999977</v>
      </c>
      <c r="BG67" s="51">
        <f t="shared" si="55"/>
        <v>31.800000000000011</v>
      </c>
      <c r="BH67" s="51">
        <f t="shared" si="55"/>
        <v>20.5</v>
      </c>
      <c r="BI67" s="273">
        <f t="shared" si="55"/>
        <v>20.399999999999977</v>
      </c>
      <c r="BJ67" s="51">
        <f t="shared" si="55"/>
        <v>23.700000000000045</v>
      </c>
      <c r="BK67" s="51">
        <f t="shared" si="55"/>
        <v>26.199999999999989</v>
      </c>
      <c r="BL67" s="51">
        <f t="shared" si="55"/>
        <v>23.099999999999966</v>
      </c>
      <c r="BM67" s="51">
        <f t="shared" si="55"/>
        <v>24.399999999999977</v>
      </c>
      <c r="BN67" s="51">
        <f t="shared" si="55"/>
        <v>29.300000000000068</v>
      </c>
      <c r="BO67" s="51">
        <f t="shared" si="55"/>
        <v>38.399999999999977</v>
      </c>
      <c r="BP67" s="273">
        <f t="shared" si="55"/>
        <v>27.899999999999977</v>
      </c>
      <c r="BQ67" s="51">
        <f t="shared" si="55"/>
        <v>31.200000000000045</v>
      </c>
      <c r="BR67" s="51">
        <f t="shared" si="55"/>
        <v>42.54200000000003</v>
      </c>
      <c r="BS67" s="51">
        <f t="shared" si="55"/>
        <v>42.411999999999921</v>
      </c>
      <c r="BT67" s="51">
        <f t="shared" si="55"/>
        <v>23.302000000000021</v>
      </c>
      <c r="BU67" s="51">
        <f t="shared" si="55"/>
        <v>32.150999999999954</v>
      </c>
      <c r="BV67" s="51">
        <f t="shared" si="55"/>
        <v>28.631000000000085</v>
      </c>
      <c r="BW67" s="52">
        <f t="shared" si="55"/>
        <v>33.63900000000001</v>
      </c>
      <c r="BX67" s="52">
        <f t="shared" si="55"/>
        <v>31.545999999999935</v>
      </c>
      <c r="BY67" s="52">
        <f t="shared" si="55"/>
        <v>36.759999999999991</v>
      </c>
      <c r="BZ67" s="51">
        <f t="shared" si="55"/>
        <v>37.339000000000055</v>
      </c>
      <c r="CA67" s="51">
        <f t="shared" si="55"/>
        <v>86.094000000000051</v>
      </c>
      <c r="CB67" s="51">
        <f t="shared" si="55"/>
        <v>53.024999999999864</v>
      </c>
      <c r="CC67" s="51">
        <f t="shared" si="55"/>
        <v>79.182000000000016</v>
      </c>
      <c r="CD67" s="51">
        <f t="shared" si="55"/>
        <v>85.606999999999971</v>
      </c>
      <c r="CE67" s="51">
        <f t="shared" si="55"/>
        <v>152.83000000000015</v>
      </c>
      <c r="CF67" s="51">
        <f t="shared" si="55"/>
        <v>85.088999999999942</v>
      </c>
      <c r="CG67" s="51">
        <f t="shared" si="55"/>
        <v>70.105000000000018</v>
      </c>
      <c r="CH67" s="51">
        <f t="shared" si="55"/>
        <v>71.782999999999902</v>
      </c>
      <c r="CI67" s="51">
        <f t="shared" si="55"/>
        <v>60.089000000000169</v>
      </c>
      <c r="CJ67" s="51">
        <f t="shared" si="55"/>
        <v>19.679999999999836</v>
      </c>
      <c r="CK67" s="51">
        <f t="shared" si="55"/>
        <v>24.110000000000127</v>
      </c>
      <c r="CL67" s="51">
        <f t="shared" si="55"/>
        <v>12.674999999999955</v>
      </c>
      <c r="CM67" s="51">
        <f t="shared" si="55"/>
        <v>41.139999999999873</v>
      </c>
      <c r="CN67" s="51">
        <f t="shared" si="55"/>
        <v>24.033000000000129</v>
      </c>
      <c r="CO67" s="51">
        <f t="shared" si="55"/>
        <v>31.292999999999893</v>
      </c>
      <c r="CP67" s="51">
        <f t="shared" si="55"/>
        <v>27.894999999999982</v>
      </c>
      <c r="CQ67" s="51">
        <f t="shared" si="55"/>
        <v>49.796000000000049</v>
      </c>
      <c r="CR67" s="52">
        <f t="shared" si="55"/>
        <v>33.660000000000082</v>
      </c>
      <c r="CS67" s="52">
        <f t="shared" si="55"/>
        <v>40.472999999999956</v>
      </c>
      <c r="CT67" s="52">
        <f t="shared" si="55"/>
        <v>46.727999999999838</v>
      </c>
      <c r="CU67" s="343">
        <f t="shared" si="55"/>
        <v>62.382000000000062</v>
      </c>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row>
    <row r="68" spans="1:264" x14ac:dyDescent="0.2">
      <c r="A68" s="23" t="s">
        <v>32</v>
      </c>
      <c r="B68" s="231"/>
      <c r="C68" s="51" t="s">
        <v>34</v>
      </c>
      <c r="D68" s="51" t="s">
        <v>34</v>
      </c>
      <c r="E68" s="51" t="s">
        <v>34</v>
      </c>
      <c r="F68" s="51" t="s">
        <v>34</v>
      </c>
      <c r="G68" s="51" t="s">
        <v>34</v>
      </c>
      <c r="H68" s="51" t="s">
        <v>34</v>
      </c>
      <c r="I68" s="51" t="s">
        <v>34</v>
      </c>
      <c r="J68" s="51" t="s">
        <v>34</v>
      </c>
      <c r="K68" s="51" t="s">
        <v>34</v>
      </c>
      <c r="L68" s="51" t="s">
        <v>34</v>
      </c>
      <c r="M68" s="51" t="s">
        <v>34</v>
      </c>
      <c r="N68" s="51" t="s">
        <v>34</v>
      </c>
      <c r="O68" s="51" t="s">
        <v>34</v>
      </c>
      <c r="P68" s="51" t="s">
        <v>34</v>
      </c>
      <c r="Q68" s="51" t="s">
        <v>34</v>
      </c>
      <c r="R68" s="51" t="s">
        <v>34</v>
      </c>
      <c r="S68" s="51" t="s">
        <v>34</v>
      </c>
      <c r="T68" s="51" t="s">
        <v>34</v>
      </c>
      <c r="U68" s="51" t="s">
        <v>34</v>
      </c>
      <c r="V68" s="51" t="s">
        <v>34</v>
      </c>
      <c r="W68" s="51" t="s">
        <v>34</v>
      </c>
      <c r="X68" s="51" t="s">
        <v>34</v>
      </c>
      <c r="Y68" s="51" t="s">
        <v>34</v>
      </c>
      <c r="Z68" s="51" t="s">
        <v>34</v>
      </c>
      <c r="AA68" s="51">
        <v>121.36</v>
      </c>
      <c r="AB68" s="51">
        <v>127.7</v>
      </c>
      <c r="AC68" s="52">
        <v>133</v>
      </c>
      <c r="AD68" s="52" t="s">
        <v>49</v>
      </c>
      <c r="AE68" s="52" t="s">
        <v>49</v>
      </c>
      <c r="AF68" s="52" t="s">
        <v>49</v>
      </c>
      <c r="AG68" s="52" t="s">
        <v>49</v>
      </c>
      <c r="AH68" s="52">
        <v>175.16279069767441</v>
      </c>
      <c r="AI68" s="52">
        <v>180.15267175572518</v>
      </c>
      <c r="AJ68" s="51">
        <v>187.81954887218046</v>
      </c>
      <c r="AK68" s="52">
        <v>194.77611940298507</v>
      </c>
      <c r="AL68" s="51">
        <v>202.6</v>
      </c>
      <c r="AM68" s="52">
        <v>215.8</v>
      </c>
      <c r="AN68" s="51">
        <v>225.2</v>
      </c>
      <c r="AO68" s="51">
        <v>230.5</v>
      </c>
      <c r="AP68" s="51">
        <v>236.8</v>
      </c>
      <c r="AQ68" s="51">
        <v>246.5</v>
      </c>
      <c r="AR68" s="51">
        <v>252.7</v>
      </c>
      <c r="AS68" s="273">
        <v>258.60000000000002</v>
      </c>
      <c r="AT68" s="52">
        <v>263</v>
      </c>
      <c r="AU68" s="52">
        <v>270.10000000000002</v>
      </c>
      <c r="AV68" s="51">
        <v>274.74</v>
      </c>
      <c r="AW68" s="51">
        <v>278.93299999999999</v>
      </c>
      <c r="AX68" s="51">
        <v>283.286</v>
      </c>
      <c r="AY68" s="51">
        <v>292.2</v>
      </c>
      <c r="AZ68" s="51">
        <v>298.3</v>
      </c>
      <c r="BA68" s="51">
        <v>306.89999999999998</v>
      </c>
      <c r="BB68" s="51">
        <v>316.5</v>
      </c>
      <c r="BC68" s="51">
        <v>331</v>
      </c>
      <c r="BD68" s="51">
        <v>342.5</v>
      </c>
      <c r="BE68" s="51">
        <v>355.3</v>
      </c>
      <c r="BF68" s="51">
        <v>371.2</v>
      </c>
      <c r="BG68" s="51">
        <v>403</v>
      </c>
      <c r="BH68" s="51">
        <v>423.5</v>
      </c>
      <c r="BI68" s="52">
        <v>443.9</v>
      </c>
      <c r="BJ68" s="51">
        <v>467.6</v>
      </c>
      <c r="BK68" s="51">
        <v>493.8</v>
      </c>
      <c r="BL68" s="51">
        <v>516.9</v>
      </c>
      <c r="BM68" s="51">
        <v>541.29999999999995</v>
      </c>
      <c r="BN68" s="51">
        <v>570.6</v>
      </c>
      <c r="BO68" s="51">
        <v>609</v>
      </c>
      <c r="BP68" s="273">
        <v>636.9</v>
      </c>
      <c r="BQ68" s="51">
        <v>668.1</v>
      </c>
      <c r="BR68" s="273">
        <v>710.64200000000005</v>
      </c>
      <c r="BS68" s="51">
        <v>753.05399999999997</v>
      </c>
      <c r="BT68" s="51">
        <v>776.35599999999999</v>
      </c>
      <c r="BU68" s="51">
        <v>808.50699999999995</v>
      </c>
      <c r="BV68" s="51">
        <v>837.13800000000003</v>
      </c>
      <c r="BW68" s="52">
        <v>870.77700000000004</v>
      </c>
      <c r="BX68" s="52">
        <v>902.32299999999998</v>
      </c>
      <c r="BY68" s="52">
        <v>939.08299999999997</v>
      </c>
      <c r="BZ68" s="51">
        <v>976.42200000000003</v>
      </c>
      <c r="CA68" s="51">
        <v>1062.5160000000001</v>
      </c>
      <c r="CB68" s="51">
        <v>1115.5409999999999</v>
      </c>
      <c r="CC68" s="51">
        <v>1194.723</v>
      </c>
      <c r="CD68" s="51">
        <v>1280.33</v>
      </c>
      <c r="CE68" s="51">
        <v>1433.16</v>
      </c>
      <c r="CF68" s="51">
        <v>1518.249</v>
      </c>
      <c r="CG68" s="51">
        <v>1588.354</v>
      </c>
      <c r="CH68" s="51">
        <v>1660.1369999999999</v>
      </c>
      <c r="CI68" s="51">
        <v>1720.2260000000001</v>
      </c>
      <c r="CJ68" s="51">
        <v>1739.9059999999999</v>
      </c>
      <c r="CK68" s="51">
        <v>1764.0160000000001</v>
      </c>
      <c r="CL68" s="51">
        <v>1776.691</v>
      </c>
      <c r="CM68" s="51">
        <v>1817.8309999999999</v>
      </c>
      <c r="CN68" s="51">
        <v>1841.864</v>
      </c>
      <c r="CO68" s="51">
        <v>1873.1569999999999</v>
      </c>
      <c r="CP68" s="51">
        <v>1901.0519999999999</v>
      </c>
      <c r="CQ68" s="51">
        <v>1950.848</v>
      </c>
      <c r="CR68" s="52">
        <v>1984.508</v>
      </c>
      <c r="CS68" s="52">
        <v>2024.981</v>
      </c>
      <c r="CT68" s="52">
        <v>2071.7089999999998</v>
      </c>
      <c r="CU68" s="343">
        <v>2134.0909999999999</v>
      </c>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row>
    <row r="69" spans="1:264" x14ac:dyDescent="0.2">
      <c r="A69" s="23" t="s">
        <v>221</v>
      </c>
      <c r="B69" s="231"/>
      <c r="C69" s="51" t="s">
        <v>34</v>
      </c>
      <c r="D69" s="51" t="s">
        <v>34</v>
      </c>
      <c r="E69" s="51" t="s">
        <v>34</v>
      </c>
      <c r="F69" s="51" t="s">
        <v>34</v>
      </c>
      <c r="G69" s="51" t="s">
        <v>34</v>
      </c>
      <c r="H69" s="51" t="s">
        <v>34</v>
      </c>
      <c r="I69" s="51" t="s">
        <v>34</v>
      </c>
      <c r="J69" s="51" t="s">
        <v>34</v>
      </c>
      <c r="K69" s="51" t="s">
        <v>34</v>
      </c>
      <c r="L69" s="51" t="s">
        <v>34</v>
      </c>
      <c r="M69" s="51" t="s">
        <v>34</v>
      </c>
      <c r="N69" s="51" t="s">
        <v>34</v>
      </c>
      <c r="O69" s="51" t="s">
        <v>34</v>
      </c>
      <c r="P69" s="51" t="s">
        <v>34</v>
      </c>
      <c r="Q69" s="51" t="s">
        <v>34</v>
      </c>
      <c r="R69" s="51" t="s">
        <v>34</v>
      </c>
      <c r="S69" s="51" t="s">
        <v>34</v>
      </c>
      <c r="T69" s="51" t="s">
        <v>34</v>
      </c>
      <c r="U69" s="51" t="s">
        <v>34</v>
      </c>
      <c r="V69" s="51" t="s">
        <v>34</v>
      </c>
      <c r="W69" s="51" t="s">
        <v>34</v>
      </c>
      <c r="X69" s="51" t="s">
        <v>34</v>
      </c>
      <c r="Y69" s="51" t="s">
        <v>34</v>
      </c>
      <c r="Z69" s="51" t="s">
        <v>34</v>
      </c>
      <c r="AA69" s="51" t="s">
        <v>34</v>
      </c>
      <c r="AB69" s="51" t="s">
        <v>34</v>
      </c>
      <c r="AC69" s="51" t="s">
        <v>34</v>
      </c>
      <c r="AD69" s="51" t="s">
        <v>34</v>
      </c>
      <c r="AE69" s="51" t="s">
        <v>34</v>
      </c>
      <c r="AF69" s="51" t="s">
        <v>34</v>
      </c>
      <c r="AG69" s="51" t="s">
        <v>34</v>
      </c>
      <c r="AH69" s="51" t="s">
        <v>34</v>
      </c>
      <c r="AI69" s="51" t="s">
        <v>34</v>
      </c>
      <c r="AJ69" s="51" t="s">
        <v>34</v>
      </c>
      <c r="AK69" s="51" t="s">
        <v>34</v>
      </c>
      <c r="AL69" s="51" t="s">
        <v>34</v>
      </c>
      <c r="AM69" s="51" t="s">
        <v>34</v>
      </c>
      <c r="AN69" s="51" t="s">
        <v>34</v>
      </c>
      <c r="AO69" s="51" t="s">
        <v>34</v>
      </c>
      <c r="AP69" s="51" t="s">
        <v>34</v>
      </c>
      <c r="AQ69" s="51" t="s">
        <v>34</v>
      </c>
      <c r="AR69" s="51" t="s">
        <v>34</v>
      </c>
      <c r="AS69" s="51" t="s">
        <v>34</v>
      </c>
      <c r="AT69" s="51" t="s">
        <v>34</v>
      </c>
      <c r="AU69" s="51" t="s">
        <v>34</v>
      </c>
      <c r="AV69" s="51" t="s">
        <v>34</v>
      </c>
      <c r="AW69" s="51" t="s">
        <v>34</v>
      </c>
      <c r="AX69" s="51" t="s">
        <v>34</v>
      </c>
      <c r="AY69" s="51" t="s">
        <v>34</v>
      </c>
      <c r="AZ69" s="51" t="s">
        <v>34</v>
      </c>
      <c r="BA69" s="51" t="s">
        <v>34</v>
      </c>
      <c r="BB69" s="51" t="s">
        <v>34</v>
      </c>
      <c r="BC69" s="51" t="s">
        <v>34</v>
      </c>
      <c r="BD69" s="51" t="s">
        <v>34</v>
      </c>
      <c r="BE69" s="51" t="s">
        <v>34</v>
      </c>
      <c r="BF69" s="51" t="s">
        <v>34</v>
      </c>
      <c r="BG69" s="51" t="s">
        <v>34</v>
      </c>
      <c r="BH69" s="51" t="s">
        <v>34</v>
      </c>
      <c r="BI69" s="51" t="s">
        <v>34</v>
      </c>
      <c r="BJ69" s="51" t="s">
        <v>34</v>
      </c>
      <c r="BK69" s="51" t="s">
        <v>34</v>
      </c>
      <c r="BL69" s="51" t="s">
        <v>34</v>
      </c>
      <c r="BM69" s="51" t="s">
        <v>34</v>
      </c>
      <c r="BN69" s="51" t="s">
        <v>34</v>
      </c>
      <c r="BO69" s="51" t="s">
        <v>34</v>
      </c>
      <c r="BP69" s="51" t="s">
        <v>34</v>
      </c>
      <c r="BQ69" s="51" t="s">
        <v>34</v>
      </c>
      <c r="BR69" s="51" t="s">
        <v>34</v>
      </c>
      <c r="BS69" s="51" t="s">
        <v>34</v>
      </c>
      <c r="BT69" s="51" t="s">
        <v>34</v>
      </c>
      <c r="BU69" s="51" t="s">
        <v>34</v>
      </c>
      <c r="BV69" s="51" t="s">
        <v>34</v>
      </c>
      <c r="BW69" s="51" t="s">
        <v>34</v>
      </c>
      <c r="BX69" s="51" t="s">
        <v>34</v>
      </c>
      <c r="BY69" s="51" t="s">
        <v>34</v>
      </c>
      <c r="BZ69" s="51" t="s">
        <v>34</v>
      </c>
      <c r="CA69" s="51" t="s">
        <v>34</v>
      </c>
      <c r="CB69" s="51" t="s">
        <v>34</v>
      </c>
      <c r="CC69" s="51" t="s">
        <v>34</v>
      </c>
      <c r="CD69" s="51" t="s">
        <v>34</v>
      </c>
      <c r="CE69" s="51">
        <v>498.8</v>
      </c>
      <c r="CF69" s="51">
        <v>505.2</v>
      </c>
      <c r="CG69" s="51">
        <v>497.97</v>
      </c>
      <c r="CH69" s="51">
        <v>472.09199999999998</v>
      </c>
      <c r="CI69" s="51">
        <v>405.15600000000001</v>
      </c>
      <c r="CJ69" s="51">
        <v>372.31599999999997</v>
      </c>
      <c r="CK69" s="51">
        <v>357.60199999999998</v>
      </c>
      <c r="CL69" s="51">
        <v>339.06200000000001</v>
      </c>
      <c r="CM69" s="51">
        <v>390.82100000000003</v>
      </c>
      <c r="CN69" s="51">
        <v>365.59899999999999</v>
      </c>
      <c r="CO69" s="51">
        <v>342.04199999999997</v>
      </c>
      <c r="CP69" s="51">
        <v>346.67599999999999</v>
      </c>
      <c r="CQ69" s="51">
        <v>410.05500000000001</v>
      </c>
      <c r="CR69" s="52">
        <v>412.46076923076902</v>
      </c>
      <c r="CS69" s="52">
        <v>398.696736263736</v>
      </c>
      <c r="CT69" s="52">
        <v>425.00465217391297</v>
      </c>
      <c r="CU69" s="343">
        <v>472.964144444444</v>
      </c>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row>
    <row r="70" spans="1:264" x14ac:dyDescent="0.2">
      <c r="A70" s="6"/>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5"/>
      <c r="AD70" s="15"/>
      <c r="AE70" s="15"/>
      <c r="AF70" s="15"/>
      <c r="AG70" s="15"/>
      <c r="AH70" s="15"/>
      <c r="AI70" s="15"/>
      <c r="AJ70" s="14"/>
      <c r="AK70" s="4"/>
      <c r="AL70" s="14"/>
      <c r="AM70" s="15"/>
      <c r="AN70" s="14"/>
      <c r="AO70" s="14"/>
      <c r="AP70" s="15"/>
      <c r="AQ70" s="14"/>
      <c r="AR70" s="14"/>
      <c r="AS70" s="4"/>
      <c r="AT70" s="15"/>
      <c r="AU70" s="15"/>
      <c r="AV70" s="15"/>
      <c r="AW70" s="15"/>
      <c r="AX70" s="15"/>
      <c r="AY70" s="14"/>
      <c r="AZ70" s="14"/>
      <c r="BA70" s="14"/>
      <c r="BB70" s="14"/>
      <c r="BC70" s="14"/>
      <c r="BD70" s="14"/>
      <c r="BE70" s="14"/>
      <c r="BF70" s="14"/>
      <c r="BG70" s="14"/>
      <c r="BH70" s="14"/>
      <c r="BI70" s="15"/>
      <c r="BJ70" s="14"/>
      <c r="BK70" s="150"/>
      <c r="BL70" s="150"/>
      <c r="BM70" s="150"/>
      <c r="BN70" s="150"/>
      <c r="BO70" s="150"/>
      <c r="BP70" s="274"/>
      <c r="BQ70" s="150"/>
      <c r="BR70" s="14"/>
      <c r="BS70" s="14"/>
      <c r="BT70" s="14"/>
      <c r="BU70" s="14"/>
      <c r="BV70" s="14"/>
      <c r="BW70" s="15"/>
      <c r="BX70" s="15"/>
      <c r="BY70" s="15"/>
      <c r="BZ70" s="14"/>
      <c r="CA70" s="14"/>
      <c r="CB70" s="14"/>
      <c r="CC70" s="14"/>
      <c r="CD70" s="14"/>
      <c r="CE70" s="14"/>
      <c r="CF70" s="14"/>
      <c r="CG70" s="211"/>
      <c r="CH70" s="211"/>
      <c r="CI70" s="211"/>
      <c r="CJ70" s="211"/>
      <c r="CK70" s="211"/>
      <c r="CL70" s="211"/>
      <c r="CM70" s="211"/>
      <c r="CN70" s="211"/>
      <c r="CO70" s="211"/>
      <c r="CP70" s="211"/>
      <c r="CQ70" s="211"/>
      <c r="CR70" s="357"/>
      <c r="CS70" s="357"/>
      <c r="CT70" s="357"/>
      <c r="CU70" s="366"/>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row>
    <row r="71" spans="1:264" x14ac:dyDescent="0.2">
      <c r="A71" s="23" t="s">
        <v>84</v>
      </c>
      <c r="B71" s="231"/>
      <c r="C71" s="54" t="s">
        <v>49</v>
      </c>
      <c r="D71" s="54" t="s">
        <v>49</v>
      </c>
      <c r="E71" s="54" t="s">
        <v>49</v>
      </c>
      <c r="F71" s="54" t="s">
        <v>49</v>
      </c>
      <c r="G71" s="54" t="s">
        <v>49</v>
      </c>
      <c r="H71" s="54" t="s">
        <v>49</v>
      </c>
      <c r="I71" s="54" t="s">
        <v>49</v>
      </c>
      <c r="J71" s="54" t="s">
        <v>49</v>
      </c>
      <c r="K71" s="54" t="s">
        <v>49</v>
      </c>
      <c r="L71" s="54" t="s">
        <v>49</v>
      </c>
      <c r="M71" s="54" t="s">
        <v>49</v>
      </c>
      <c r="N71" s="54" t="s">
        <v>49</v>
      </c>
      <c r="O71" s="54" t="s">
        <v>49</v>
      </c>
      <c r="P71" s="54" t="s">
        <v>49</v>
      </c>
      <c r="Q71" s="54" t="s">
        <v>49</v>
      </c>
      <c r="R71" s="54" t="s">
        <v>49</v>
      </c>
      <c r="S71" s="54" t="s">
        <v>49</v>
      </c>
      <c r="T71" s="54" t="s">
        <v>49</v>
      </c>
      <c r="U71" s="54" t="s">
        <v>49</v>
      </c>
      <c r="V71" s="54" t="s">
        <v>49</v>
      </c>
      <c r="W71" s="54" t="s">
        <v>49</v>
      </c>
      <c r="X71" s="54" t="s">
        <v>49</v>
      </c>
      <c r="Y71" s="54" t="s">
        <v>49</v>
      </c>
      <c r="Z71" s="54" t="s">
        <v>49</v>
      </c>
      <c r="AA71" s="54" t="s">
        <v>49</v>
      </c>
      <c r="AB71" s="54" t="s">
        <v>49</v>
      </c>
      <c r="AC71" s="54" t="s">
        <v>49</v>
      </c>
      <c r="AD71" s="54" t="s">
        <v>49</v>
      </c>
      <c r="AE71" s="54" t="s">
        <v>49</v>
      </c>
      <c r="AF71" s="54" t="s">
        <v>49</v>
      </c>
      <c r="AG71" s="54" t="s">
        <v>49</v>
      </c>
      <c r="AH71" s="54">
        <f t="shared" ref="AH71:CP71" si="56">+AH88/(AH68*1000)</f>
        <v>0.20496420419543282</v>
      </c>
      <c r="AI71" s="269">
        <f t="shared" si="56"/>
        <v>0.21685495762711868</v>
      </c>
      <c r="AJ71" s="269">
        <f t="shared" si="56"/>
        <v>0.26163410728582864</v>
      </c>
      <c r="AK71" s="269">
        <f t="shared" si="56"/>
        <v>0.29683310344827585</v>
      </c>
      <c r="AL71" s="269">
        <f t="shared" si="56"/>
        <v>0.31798124383020732</v>
      </c>
      <c r="AM71" s="269">
        <f t="shared" si="56"/>
        <v>0.34629749768303986</v>
      </c>
      <c r="AN71" s="269">
        <f t="shared" si="56"/>
        <v>0.32364120781527533</v>
      </c>
      <c r="AO71" s="269">
        <f t="shared" si="56"/>
        <v>0.3405596529284165</v>
      </c>
      <c r="AP71" s="269">
        <f t="shared" si="56"/>
        <v>0.3627069256756757</v>
      </c>
      <c r="AQ71" s="269">
        <f t="shared" si="56"/>
        <v>0.36824746450304258</v>
      </c>
      <c r="AR71" s="269">
        <f t="shared" si="56"/>
        <v>0.34925207756232685</v>
      </c>
      <c r="AS71" s="269">
        <f t="shared" si="56"/>
        <v>0.28290023201856146</v>
      </c>
      <c r="AT71" s="269">
        <f t="shared" si="56"/>
        <v>0.29194676806083653</v>
      </c>
      <c r="AU71" s="269">
        <f t="shared" si="56"/>
        <v>0.31579415031469826</v>
      </c>
      <c r="AV71" s="269">
        <f t="shared" si="56"/>
        <v>0.29643663099657858</v>
      </c>
      <c r="AW71" s="269">
        <f t="shared" si="56"/>
        <v>0.30460002939774067</v>
      </c>
      <c r="AX71" s="269">
        <f t="shared" si="56"/>
        <v>0.3130017014607146</v>
      </c>
      <c r="AY71" s="269">
        <f t="shared" si="56"/>
        <v>0.33009240246406568</v>
      </c>
      <c r="AZ71" s="269">
        <f t="shared" si="56"/>
        <v>0.32690244720080458</v>
      </c>
      <c r="BA71" s="269">
        <f t="shared" si="56"/>
        <v>0.35247963506028024</v>
      </c>
      <c r="BB71" s="269">
        <f t="shared" si="56"/>
        <v>0.36600631911532383</v>
      </c>
      <c r="BC71" s="269">
        <f t="shared" si="56"/>
        <v>0.38041389728096675</v>
      </c>
      <c r="BD71" s="269">
        <f t="shared" si="56"/>
        <v>0.39304233576642333</v>
      </c>
      <c r="BE71" s="269">
        <f t="shared" si="56"/>
        <v>0.3892963692654095</v>
      </c>
      <c r="BF71" s="54">
        <f t="shared" si="56"/>
        <v>0.39675571186147629</v>
      </c>
      <c r="BG71" s="54">
        <f t="shared" si="56"/>
        <v>0.43187344913151365</v>
      </c>
      <c r="BH71" s="54">
        <f t="shared" si="56"/>
        <v>0.41508854781582055</v>
      </c>
      <c r="BI71" s="284">
        <f t="shared" si="56"/>
        <v>0.39786203187265567</v>
      </c>
      <c r="BJ71" s="54">
        <f t="shared" si="56"/>
        <v>0.4238434438812908</v>
      </c>
      <c r="BK71" s="54">
        <f t="shared" si="56"/>
        <v>0.39616563646296071</v>
      </c>
      <c r="BL71" s="54">
        <f t="shared" si="56"/>
        <v>0.39825691623137938</v>
      </c>
      <c r="BM71" s="54">
        <f t="shared" si="56"/>
        <v>0.42569370035100684</v>
      </c>
      <c r="BN71" s="54">
        <f t="shared" si="56"/>
        <v>0.41911146161934804</v>
      </c>
      <c r="BO71" s="54">
        <f t="shared" si="56"/>
        <v>0.41880333673572623</v>
      </c>
      <c r="BP71" s="284">
        <f t="shared" si="56"/>
        <v>0.42447611889449816</v>
      </c>
      <c r="BQ71" s="54">
        <f t="shared" si="56"/>
        <v>0.42056262094574093</v>
      </c>
      <c r="BR71" s="54">
        <f t="shared" si="56"/>
        <v>0.39813437016412223</v>
      </c>
      <c r="BS71" s="54">
        <f t="shared" si="56"/>
        <v>0.38340012801206819</v>
      </c>
      <c r="BT71" s="54">
        <f t="shared" si="56"/>
        <v>0.39562133866422106</v>
      </c>
      <c r="BU71" s="54">
        <f t="shared" si="56"/>
        <v>0.40937538329815215</v>
      </c>
      <c r="BV71" s="54">
        <f t="shared" si="56"/>
        <v>0.35833913147105156</v>
      </c>
      <c r="BW71" s="269">
        <f t="shared" si="56"/>
        <v>0.38548055989338137</v>
      </c>
      <c r="BX71" s="269">
        <f t="shared" si="56"/>
        <v>0.39817908017770876</v>
      </c>
      <c r="BY71" s="269">
        <f t="shared" si="56"/>
        <v>0.40154537883230473</v>
      </c>
      <c r="BZ71" s="54">
        <f t="shared" si="56"/>
        <v>0.41756404861041718</v>
      </c>
      <c r="CA71" s="54">
        <f t="shared" si="56"/>
        <v>0.34650279716644694</v>
      </c>
      <c r="CB71" s="54">
        <f t="shared" si="56"/>
        <v>0.39853291142818165</v>
      </c>
      <c r="CC71" s="54">
        <f t="shared" si="56"/>
        <v>0.43038620033028707</v>
      </c>
      <c r="CD71" s="54">
        <f t="shared" si="56"/>
        <v>0.44559538806949406</v>
      </c>
      <c r="CE71" s="54">
        <f t="shared" si="56"/>
        <v>0.45629561625392873</v>
      </c>
      <c r="CF71" s="54">
        <f t="shared" si="56"/>
        <v>0.46999724856311814</v>
      </c>
      <c r="CG71" s="54">
        <f t="shared" si="56"/>
        <v>0.46273370964087862</v>
      </c>
      <c r="CH71" s="54">
        <f t="shared" si="56"/>
        <v>0.48767025459612362</v>
      </c>
      <c r="CI71" s="54">
        <f t="shared" si="56"/>
        <v>0.43069856487752095</v>
      </c>
      <c r="CJ71" s="54">
        <f t="shared" si="56"/>
        <v>0.37511849663500496</v>
      </c>
      <c r="CK71" s="54">
        <f t="shared" si="56"/>
        <v>0.36277557784925801</v>
      </c>
      <c r="CL71" s="54">
        <f t="shared" si="56"/>
        <v>0.3736464902029491</v>
      </c>
      <c r="CM71" s="54">
        <f t="shared" si="56"/>
        <v>0.39372522469652382</v>
      </c>
      <c r="CN71" s="54">
        <f t="shared" si="56"/>
        <v>0.40007719813378556</v>
      </c>
      <c r="CO71" s="54">
        <f t="shared" si="56"/>
        <v>0.38193818756249476</v>
      </c>
      <c r="CP71" s="54">
        <f t="shared" si="56"/>
        <v>0.41119460448382478</v>
      </c>
      <c r="CQ71" s="54">
        <f>+CQ88/(CQ68*1000)</f>
        <v>0.4402740300445222</v>
      </c>
      <c r="CR71" s="269">
        <f>+CR88/(CR68*1000)</f>
        <v>0.45034129127709016</v>
      </c>
      <c r="CS71" s="269">
        <f>+CS88/(CS68*1000)</f>
        <v>0.45803872748502739</v>
      </c>
      <c r="CT71" s="269">
        <f>+CT88/(CT68*1000)</f>
        <v>0.46095349982205602</v>
      </c>
      <c r="CU71" s="344">
        <f>+CU88/(CU68*1000)</f>
        <v>0.43623524509765499</v>
      </c>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row>
    <row r="72" spans="1:264" x14ac:dyDescent="0.2">
      <c r="A72" s="23" t="s">
        <v>76</v>
      </c>
      <c r="B72" s="231"/>
      <c r="C72" s="24" t="s">
        <v>49</v>
      </c>
      <c r="D72" s="24" t="s">
        <v>49</v>
      </c>
      <c r="E72" s="24" t="s">
        <v>49</v>
      </c>
      <c r="F72" s="24" t="s">
        <v>49</v>
      </c>
      <c r="G72" s="24" t="s">
        <v>49</v>
      </c>
      <c r="H72" s="24" t="s">
        <v>49</v>
      </c>
      <c r="I72" s="24" t="s">
        <v>49</v>
      </c>
      <c r="J72" s="24" t="s">
        <v>49</v>
      </c>
      <c r="K72" s="24" t="s">
        <v>49</v>
      </c>
      <c r="L72" s="24" t="s">
        <v>49</v>
      </c>
      <c r="M72" s="24" t="s">
        <v>49</v>
      </c>
      <c r="N72" s="24" t="s">
        <v>49</v>
      </c>
      <c r="O72" s="24" t="s">
        <v>49</v>
      </c>
      <c r="P72" s="24" t="s">
        <v>49</v>
      </c>
      <c r="Q72" s="24" t="s">
        <v>49</v>
      </c>
      <c r="R72" s="24" t="s">
        <v>49</v>
      </c>
      <c r="S72" s="24" t="s">
        <v>49</v>
      </c>
      <c r="T72" s="24" t="s">
        <v>49</v>
      </c>
      <c r="U72" s="24" t="s">
        <v>49</v>
      </c>
      <c r="V72" s="24" t="s">
        <v>49</v>
      </c>
      <c r="W72" s="24" t="s">
        <v>49</v>
      </c>
      <c r="X72" s="24" t="s">
        <v>49</v>
      </c>
      <c r="Y72" s="24" t="s">
        <v>49</v>
      </c>
      <c r="Z72" s="24" t="s">
        <v>49</v>
      </c>
      <c r="AA72" s="24" t="s">
        <v>49</v>
      </c>
      <c r="AB72" s="24" t="s">
        <v>49</v>
      </c>
      <c r="AC72" s="24" t="s">
        <v>49</v>
      </c>
      <c r="AD72" s="24" t="s">
        <v>49</v>
      </c>
      <c r="AE72" s="24" t="s">
        <v>49</v>
      </c>
      <c r="AF72" s="24" t="s">
        <v>49</v>
      </c>
      <c r="AG72" s="24" t="s">
        <v>49</v>
      </c>
      <c r="AH72" s="24" t="s">
        <v>49</v>
      </c>
      <c r="AI72" s="25">
        <f t="shared" ref="AI72:CU72" si="57">4*AI31/((AH68+AI68)/2/1000)</f>
        <v>2424.4913239962984</v>
      </c>
      <c r="AJ72" s="25">
        <f t="shared" si="57"/>
        <v>2860.5886715138995</v>
      </c>
      <c r="AK72" s="25">
        <f t="shared" si="57"/>
        <v>2646.4831385173425</v>
      </c>
      <c r="AL72" s="25">
        <f t="shared" si="57"/>
        <v>2880.0295972476169</v>
      </c>
      <c r="AM72" s="25">
        <f t="shared" si="57"/>
        <v>2915.8699808795413</v>
      </c>
      <c r="AN72" s="25">
        <f t="shared" si="57"/>
        <v>2881.8544399092971</v>
      </c>
      <c r="AO72" s="25">
        <f t="shared" si="57"/>
        <v>2391.9407768268597</v>
      </c>
      <c r="AP72" s="25">
        <f t="shared" si="57"/>
        <v>2827.1906609030602</v>
      </c>
      <c r="AQ72" s="25">
        <f t="shared" si="57"/>
        <v>2980.5255534864468</v>
      </c>
      <c r="AR72" s="25">
        <f t="shared" si="57"/>
        <v>2705.3044871794873</v>
      </c>
      <c r="AS72" s="25">
        <f t="shared" si="57"/>
        <v>2800.516173987874</v>
      </c>
      <c r="AT72" s="25">
        <f t="shared" si="57"/>
        <v>2366.9973774539876</v>
      </c>
      <c r="AU72" s="25">
        <f t="shared" si="57"/>
        <v>2417.4076158319263</v>
      </c>
      <c r="AV72" s="25">
        <f t="shared" si="57"/>
        <v>2034.3587108141842</v>
      </c>
      <c r="AW72" s="25">
        <f t="shared" si="57"/>
        <v>1768.77143700343</v>
      </c>
      <c r="AX72" s="25">
        <f t="shared" si="57"/>
        <v>1829.7630136299199</v>
      </c>
      <c r="AY72" s="25">
        <f t="shared" si="57"/>
        <v>2016.9804304535646</v>
      </c>
      <c r="AZ72" s="25">
        <f t="shared" si="57"/>
        <v>1795.4276037256561</v>
      </c>
      <c r="BA72" s="25">
        <f t="shared" si="57"/>
        <v>1914.2582947785852</v>
      </c>
      <c r="BB72" s="25">
        <f t="shared" si="57"/>
        <v>2025.3054475457175</v>
      </c>
      <c r="BC72" s="25">
        <f t="shared" si="57"/>
        <v>2078.0871980231664</v>
      </c>
      <c r="BD72" s="25">
        <f t="shared" si="57"/>
        <v>1903.9014770601336</v>
      </c>
      <c r="BE72" s="25">
        <f t="shared" si="57"/>
        <v>1853.0656073373461</v>
      </c>
      <c r="BF72" s="24">
        <f t="shared" si="57"/>
        <v>2069.5290836613904</v>
      </c>
      <c r="BG72" s="24">
        <f t="shared" si="57"/>
        <v>2268.2510979075173</v>
      </c>
      <c r="BH72" s="24">
        <f t="shared" si="57"/>
        <v>2185.2728372655779</v>
      </c>
      <c r="BI72" s="232">
        <f t="shared" si="57"/>
        <v>1856.7489047728845</v>
      </c>
      <c r="BJ72" s="24">
        <f t="shared" si="57"/>
        <v>2198.1876028524412</v>
      </c>
      <c r="BK72" s="24">
        <f t="shared" si="57"/>
        <v>1864.8289516954446</v>
      </c>
      <c r="BL72" s="24">
        <f t="shared" si="57"/>
        <v>1746.3737078856248</v>
      </c>
      <c r="BM72" s="24">
        <f t="shared" si="57"/>
        <v>1653.2827496503503</v>
      </c>
      <c r="BN72" s="24">
        <f t="shared" si="57"/>
        <v>1764.1774532242114</v>
      </c>
      <c r="BO72" s="24">
        <f t="shared" si="57"/>
        <v>1658.2938219057316</v>
      </c>
      <c r="BP72" s="232">
        <f t="shared" si="57"/>
        <v>1499.7182408861074</v>
      </c>
      <c r="BQ72" s="24">
        <f t="shared" si="57"/>
        <v>1389.5920687816092</v>
      </c>
      <c r="BR72" s="24">
        <f t="shared" si="57"/>
        <v>1571.2428457826052</v>
      </c>
      <c r="BS72" s="24">
        <f t="shared" si="57"/>
        <v>1482.8904571987632</v>
      </c>
      <c r="BT72" s="24">
        <f t="shared" si="57"/>
        <v>1274.6503399350077</v>
      </c>
      <c r="BU72" s="24">
        <f t="shared" si="57"/>
        <v>1348.2058075682251</v>
      </c>
      <c r="BV72" s="24">
        <f t="shared" si="57"/>
        <v>1297.5439660923237</v>
      </c>
      <c r="BW72" s="25">
        <f t="shared" si="57"/>
        <v>1253.7030867352353</v>
      </c>
      <c r="BX72" s="25">
        <f t="shared" si="57"/>
        <v>1281.818391390344</v>
      </c>
      <c r="BY72" s="25">
        <f t="shared" si="57"/>
        <v>1359.9572979063835</v>
      </c>
      <c r="BZ72" s="24">
        <f t="shared" si="57"/>
        <v>1372.6678901781879</v>
      </c>
      <c r="CA72" s="24">
        <f t="shared" si="57"/>
        <v>2125.2428813277693</v>
      </c>
      <c r="CB72" s="24">
        <f t="shared" si="57"/>
        <v>1930.6886944209245</v>
      </c>
      <c r="CC72" s="24">
        <f t="shared" si="57"/>
        <v>1992.4998366727909</v>
      </c>
      <c r="CD72" s="24">
        <f t="shared" si="57"/>
        <v>2282.2345282280039</v>
      </c>
      <c r="CE72" s="24">
        <f>4*CE31/((CD68+CE68)/2/1000)</f>
        <v>2820.7130449785991</v>
      </c>
      <c r="CF72" s="24">
        <f t="shared" si="57"/>
        <v>2042.5961582511952</v>
      </c>
      <c r="CG72" s="24">
        <f t="shared" si="57"/>
        <v>1974.9782006223552</v>
      </c>
      <c r="CH72" s="24">
        <f t="shared" si="57"/>
        <v>2029.7785195895278</v>
      </c>
      <c r="CI72" s="24">
        <f t="shared" si="57"/>
        <v>1816.8981315438723</v>
      </c>
      <c r="CJ72" s="24">
        <f t="shared" si="57"/>
        <v>1428.3029773893131</v>
      </c>
      <c r="CK72" s="24">
        <f t="shared" si="57"/>
        <v>1690.20364654236</v>
      </c>
      <c r="CL72" s="24">
        <f t="shared" si="57"/>
        <v>1913.7196036384826</v>
      </c>
      <c r="CM72" s="24">
        <f t="shared" si="57"/>
        <v>1931.9008908110745</v>
      </c>
      <c r="CN72" s="24">
        <f t="shared" si="57"/>
        <v>1820.8810941239674</v>
      </c>
      <c r="CO72" s="24">
        <f t="shared" si="57"/>
        <v>1838.548371729544</v>
      </c>
      <c r="CP72" s="24">
        <f t="shared" si="57"/>
        <v>1870.5216162856912</v>
      </c>
      <c r="CQ72" s="24">
        <f>4*CQ31/((CP68+CQ68)/2/1000)</f>
        <v>1974.6783615774045</v>
      </c>
      <c r="CR72" s="25">
        <f t="shared" si="57"/>
        <v>1887.6057927211777</v>
      </c>
      <c r="CS72" s="25">
        <f t="shared" si="57"/>
        <v>1912.9333003382728</v>
      </c>
      <c r="CT72" s="25">
        <f t="shared" si="57"/>
        <v>2073.5083412022882</v>
      </c>
      <c r="CU72" s="69">
        <f t="shared" si="57"/>
        <v>2190.532917380765</v>
      </c>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row>
    <row r="73" spans="1:264" x14ac:dyDescent="0.2">
      <c r="A73" s="23" t="s">
        <v>77</v>
      </c>
      <c r="B73" s="231"/>
      <c r="C73" s="24" t="s">
        <v>49</v>
      </c>
      <c r="D73" s="24" t="s">
        <v>49</v>
      </c>
      <c r="E73" s="24" t="s">
        <v>49</v>
      </c>
      <c r="F73" s="24" t="s">
        <v>49</v>
      </c>
      <c r="G73" s="24" t="s">
        <v>49</v>
      </c>
      <c r="H73" s="24" t="s">
        <v>49</v>
      </c>
      <c r="I73" s="24" t="s">
        <v>49</v>
      </c>
      <c r="J73" s="24" t="s">
        <v>49</v>
      </c>
      <c r="K73" s="24" t="s">
        <v>49</v>
      </c>
      <c r="L73" s="24" t="s">
        <v>49</v>
      </c>
      <c r="M73" s="24" t="s">
        <v>49</v>
      </c>
      <c r="N73" s="24" t="s">
        <v>49</v>
      </c>
      <c r="O73" s="24" t="s">
        <v>49</v>
      </c>
      <c r="P73" s="24" t="s">
        <v>49</v>
      </c>
      <c r="Q73" s="24" t="s">
        <v>49</v>
      </c>
      <c r="R73" s="24" t="s">
        <v>49</v>
      </c>
      <c r="S73" s="24" t="s">
        <v>49</v>
      </c>
      <c r="T73" s="24" t="s">
        <v>49</v>
      </c>
      <c r="U73" s="24" t="s">
        <v>49</v>
      </c>
      <c r="V73" s="24" t="s">
        <v>49</v>
      </c>
      <c r="W73" s="24" t="s">
        <v>49</v>
      </c>
      <c r="X73" s="24" t="s">
        <v>49</v>
      </c>
      <c r="Y73" s="24" t="s">
        <v>49</v>
      </c>
      <c r="Z73" s="24" t="s">
        <v>49</v>
      </c>
      <c r="AA73" s="24" t="s">
        <v>49</v>
      </c>
      <c r="AB73" s="24" t="s">
        <v>49</v>
      </c>
      <c r="AC73" s="24" t="s">
        <v>49</v>
      </c>
      <c r="AD73" s="24" t="s">
        <v>49</v>
      </c>
      <c r="AE73" s="24" t="s">
        <v>49</v>
      </c>
      <c r="AF73" s="24" t="s">
        <v>49</v>
      </c>
      <c r="AG73" s="24" t="s">
        <v>49</v>
      </c>
      <c r="AH73" s="24" t="s">
        <v>49</v>
      </c>
      <c r="AI73" s="25">
        <f t="shared" ref="AI73:BU73" si="58">4*AI37/((AH68+AI68)/2/1000)</f>
        <v>-1222.2610979211797</v>
      </c>
      <c r="AJ73" s="25">
        <f t="shared" si="58"/>
        <v>-1294.1309230555719</v>
      </c>
      <c r="AK73" s="25">
        <f t="shared" si="58"/>
        <v>-1043.9491887627469</v>
      </c>
      <c r="AL73" s="25">
        <f t="shared" si="58"/>
        <v>-1311.4962766836186</v>
      </c>
      <c r="AM73" s="25">
        <f t="shared" si="58"/>
        <v>-1212.5123168260038</v>
      </c>
      <c r="AN73" s="25">
        <f t="shared" si="58"/>
        <v>-1384.7180863492065</v>
      </c>
      <c r="AO73" s="25">
        <f t="shared" si="58"/>
        <v>-1098.9319978776739</v>
      </c>
      <c r="AP73" s="25">
        <f t="shared" si="58"/>
        <v>-1373.1359310079179</v>
      </c>
      <c r="AQ73" s="25">
        <f t="shared" si="58"/>
        <v>-1223.0752241671839</v>
      </c>
      <c r="AR73" s="25">
        <f t="shared" si="58"/>
        <v>-1513.0584533653846</v>
      </c>
      <c r="AS73" s="25">
        <f t="shared" si="58"/>
        <v>-1192.0297786817916</v>
      </c>
      <c r="AT73" s="25">
        <f t="shared" si="58"/>
        <v>-1411.4497576687115</v>
      </c>
      <c r="AU73" s="25">
        <f t="shared" si="58"/>
        <v>-1333.6472856874882</v>
      </c>
      <c r="AV73" s="25">
        <f t="shared" si="58"/>
        <v>-1320.5550769295351</v>
      </c>
      <c r="AW73" s="25">
        <f t="shared" si="58"/>
        <v>-1152.9705799426738</v>
      </c>
      <c r="AX73" s="25">
        <f t="shared" si="58"/>
        <v>-1295.9862315129867</v>
      </c>
      <c r="AY73" s="25">
        <f t="shared" si="58"/>
        <v>-1272.9414790281605</v>
      </c>
      <c r="AZ73" s="25">
        <f t="shared" si="58"/>
        <v>-1308.856900931414</v>
      </c>
      <c r="BA73" s="25">
        <f t="shared" si="58"/>
        <v>-953.86649041639112</v>
      </c>
      <c r="BB73" s="25">
        <f t="shared" si="58"/>
        <v>-1188.3221045877449</v>
      </c>
      <c r="BC73" s="25">
        <f t="shared" si="58"/>
        <v>-1138.4092664092664</v>
      </c>
      <c r="BD73" s="25">
        <f t="shared" si="58"/>
        <v>-1107.8841870824053</v>
      </c>
      <c r="BE73" s="25">
        <f t="shared" si="58"/>
        <v>-1038.2344511321296</v>
      </c>
      <c r="BF73" s="24">
        <f t="shared" si="58"/>
        <v>-1175.7192016517549</v>
      </c>
      <c r="BG73" s="24">
        <f t="shared" si="58"/>
        <v>-1078.3776801859985</v>
      </c>
      <c r="BH73" s="24">
        <f t="shared" si="58"/>
        <v>-1005.2994555353902</v>
      </c>
      <c r="BI73" s="232">
        <f t="shared" si="58"/>
        <v>-856.72123587733472</v>
      </c>
      <c r="BJ73" s="24">
        <f t="shared" si="58"/>
        <v>-964.56390565002755</v>
      </c>
      <c r="BK73" s="24">
        <f t="shared" si="58"/>
        <v>-910.3390888287912</v>
      </c>
      <c r="BL73" s="24">
        <f t="shared" si="58"/>
        <v>-864.984664094192</v>
      </c>
      <c r="BM73" s="24">
        <f t="shared" si="58"/>
        <v>-728.3311283311283</v>
      </c>
      <c r="BN73" s="24">
        <f t="shared" si="58"/>
        <v>-922.3851065743321</v>
      </c>
      <c r="BO73" s="24">
        <f t="shared" si="58"/>
        <v>-841.64123431671749</v>
      </c>
      <c r="BP73" s="232">
        <f t="shared" si="58"/>
        <v>-838.01268159563358</v>
      </c>
      <c r="BQ73" s="24">
        <f t="shared" si="58"/>
        <v>-753.86973180076632</v>
      </c>
      <c r="BR73" s="24">
        <f t="shared" si="58"/>
        <v>-912.48398902767872</v>
      </c>
      <c r="BS73" s="24">
        <f t="shared" si="58"/>
        <v>-831.62623932838528</v>
      </c>
      <c r="BT73" s="24">
        <f t="shared" si="58"/>
        <v>-800.6224622566873</v>
      </c>
      <c r="BU73" s="24">
        <f t="shared" si="58"/>
        <v>-679.20651978796207</v>
      </c>
      <c r="BV73" s="24">
        <f>4*(BV37+35)/((BU68+BV68)/2/1000)</f>
        <v>-751.23891982028306</v>
      </c>
      <c r="BW73" s="25">
        <f t="shared" ref="BW73:CU73" si="59">4*BW37/((BV68+BW68)/2/1000)</f>
        <v>-769.3189691144255</v>
      </c>
      <c r="BX73" s="25">
        <f t="shared" si="59"/>
        <v>-748.05175804380087</v>
      </c>
      <c r="BY73" s="25">
        <f t="shared" si="59"/>
        <v>-644.76642140189483</v>
      </c>
      <c r="BZ73" s="24">
        <f t="shared" si="59"/>
        <v>-781.30729293897275</v>
      </c>
      <c r="CA73" s="24">
        <f t="shared" si="59"/>
        <v>-701.89448946947834</v>
      </c>
      <c r="CB73" s="24">
        <f t="shared" si="59"/>
        <v>-680.92627109013665</v>
      </c>
      <c r="CC73" s="24">
        <f t="shared" si="59"/>
        <v>-613.57213834588572</v>
      </c>
      <c r="CD73" s="24">
        <f t="shared" si="59"/>
        <v>-714.73765814631827</v>
      </c>
      <c r="CE73" s="24">
        <f t="shared" si="59"/>
        <v>-596.84105369025588</v>
      </c>
      <c r="CF73" s="24">
        <f t="shared" si="59"/>
        <v>-586.45161581076343</v>
      </c>
      <c r="CG73" s="24">
        <f t="shared" si="59"/>
        <v>-495.61948666429686</v>
      </c>
      <c r="CH73" s="24">
        <f t="shared" si="59"/>
        <v>-622.51545406939158</v>
      </c>
      <c r="CI73" s="24">
        <f t="shared" si="59"/>
        <v>-588.12238389678407</v>
      </c>
      <c r="CJ73" s="24">
        <f t="shared" si="59"/>
        <v>-628.6539073346064</v>
      </c>
      <c r="CK73" s="24">
        <f t="shared" si="59"/>
        <v>-542.83212210335739</v>
      </c>
      <c r="CL73" s="24">
        <f t="shared" si="59"/>
        <v>-617.44380583443956</v>
      </c>
      <c r="CM73" s="24">
        <f t="shared" si="59"/>
        <v>-643.69590610507896</v>
      </c>
      <c r="CN73" s="24">
        <f t="shared" si="59"/>
        <v>-627.99024429211704</v>
      </c>
      <c r="CO73" s="24">
        <f t="shared" si="59"/>
        <v>-572.15711947138527</v>
      </c>
      <c r="CP73" s="24">
        <f t="shared" si="59"/>
        <v>-649.18294874625133</v>
      </c>
      <c r="CQ73" s="24">
        <f t="shared" si="59"/>
        <v>-629.79615740803251</v>
      </c>
      <c r="CR73" s="25">
        <f t="shared" si="59"/>
        <v>-692.99451389912394</v>
      </c>
      <c r="CS73" s="25">
        <f t="shared" si="59"/>
        <v>-598.76558757487544</v>
      </c>
      <c r="CT73" s="25">
        <f t="shared" si="59"/>
        <v>-655.00646582484842</v>
      </c>
      <c r="CU73" s="69">
        <f t="shared" si="59"/>
        <v>-634.29327115887554</v>
      </c>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row>
    <row r="74" spans="1:264" x14ac:dyDescent="0.2">
      <c r="A74" s="23" t="s">
        <v>78</v>
      </c>
      <c r="B74" s="2"/>
      <c r="C74" s="170" t="s">
        <v>49</v>
      </c>
      <c r="D74" s="24" t="s">
        <v>49</v>
      </c>
      <c r="E74" s="24" t="s">
        <v>49</v>
      </c>
      <c r="F74" s="24" t="s">
        <v>49</v>
      </c>
      <c r="G74" s="24" t="s">
        <v>49</v>
      </c>
      <c r="H74" s="24" t="s">
        <v>49</v>
      </c>
      <c r="I74" s="24" t="s">
        <v>49</v>
      </c>
      <c r="J74" s="24" t="s">
        <v>49</v>
      </c>
      <c r="K74" s="24" t="s">
        <v>49</v>
      </c>
      <c r="L74" s="24" t="s">
        <v>49</v>
      </c>
      <c r="M74" s="24" t="s">
        <v>49</v>
      </c>
      <c r="N74" s="24" t="s">
        <v>49</v>
      </c>
      <c r="O74" s="24" t="s">
        <v>49</v>
      </c>
      <c r="P74" s="24" t="s">
        <v>49</v>
      </c>
      <c r="Q74" s="24" t="s">
        <v>49</v>
      </c>
      <c r="R74" s="24" t="s">
        <v>49</v>
      </c>
      <c r="S74" s="24" t="s">
        <v>49</v>
      </c>
      <c r="T74" s="24" t="s">
        <v>49</v>
      </c>
      <c r="U74" s="24" t="s">
        <v>49</v>
      </c>
      <c r="V74" s="24" t="s">
        <v>49</v>
      </c>
      <c r="W74" s="24" t="s">
        <v>49</v>
      </c>
      <c r="X74" s="24" t="s">
        <v>49</v>
      </c>
      <c r="Y74" s="24" t="s">
        <v>49</v>
      </c>
      <c r="Z74" s="24" t="s">
        <v>49</v>
      </c>
      <c r="AA74" s="24" t="s">
        <v>49</v>
      </c>
      <c r="AB74" s="24" t="s">
        <v>49</v>
      </c>
      <c r="AC74" s="24" t="s">
        <v>49</v>
      </c>
      <c r="AD74" s="24" t="s">
        <v>49</v>
      </c>
      <c r="AE74" s="24" t="s">
        <v>49</v>
      </c>
      <c r="AF74" s="24" t="s">
        <v>49</v>
      </c>
      <c r="AG74" s="24" t="s">
        <v>49</v>
      </c>
      <c r="AH74" s="24" t="s">
        <v>49</v>
      </c>
      <c r="AI74" s="24">
        <f t="shared" ref="AI74:BU74" si="60">4*AI43/((AH68+AI68)/2/1000)</f>
        <v>1202.2302260751187</v>
      </c>
      <c r="AJ74" s="24">
        <f t="shared" si="60"/>
        <v>1566.4577484583276</v>
      </c>
      <c r="AK74" s="24">
        <f t="shared" si="60"/>
        <v>1602.5339497545958</v>
      </c>
      <c r="AL74" s="24">
        <f t="shared" si="60"/>
        <v>1568.5333205639981</v>
      </c>
      <c r="AM74" s="24">
        <f t="shared" si="60"/>
        <v>1703.3576640535375</v>
      </c>
      <c r="AN74" s="24">
        <f t="shared" si="60"/>
        <v>1497.1363535600906</v>
      </c>
      <c r="AO74" s="24">
        <f t="shared" si="60"/>
        <v>1293.0087789491859</v>
      </c>
      <c r="AP74" s="24">
        <f t="shared" si="60"/>
        <v>1454.0547298951424</v>
      </c>
      <c r="AQ74" s="24">
        <f t="shared" si="60"/>
        <v>1757.4503293192631</v>
      </c>
      <c r="AR74" s="24">
        <f t="shared" si="60"/>
        <v>1096.0921876602565</v>
      </c>
      <c r="AS74" s="24">
        <f t="shared" si="60"/>
        <v>1608.4863953060826</v>
      </c>
      <c r="AT74" s="24">
        <f t="shared" si="60"/>
        <v>955.54761978527597</v>
      </c>
      <c r="AU74" s="24">
        <f t="shared" si="60"/>
        <v>1083.7603301444383</v>
      </c>
      <c r="AV74" s="24">
        <f t="shared" si="60"/>
        <v>713.80363388464912</v>
      </c>
      <c r="AW74" s="24">
        <f t="shared" si="60"/>
        <v>601.351895308964</v>
      </c>
      <c r="AX74" s="24">
        <f t="shared" si="60"/>
        <v>533.77678211693296</v>
      </c>
      <c r="AY74" s="24">
        <f t="shared" si="60"/>
        <v>744.03895142540398</v>
      </c>
      <c r="AZ74" s="24">
        <f t="shared" si="60"/>
        <v>486.57070279424221</v>
      </c>
      <c r="BA74" s="24">
        <f t="shared" si="60"/>
        <v>960.39180436219419</v>
      </c>
      <c r="BB74" s="24">
        <f t="shared" si="60"/>
        <v>824.15049085659302</v>
      </c>
      <c r="BC74" s="24">
        <f t="shared" si="60"/>
        <v>938.44241037837855</v>
      </c>
      <c r="BD74" s="24">
        <f t="shared" si="60"/>
        <v>794.82946518188578</v>
      </c>
      <c r="BE74" s="24">
        <f t="shared" si="60"/>
        <v>815.97761650902851</v>
      </c>
      <c r="BF74" s="24">
        <f t="shared" si="60"/>
        <v>899.3157319752238</v>
      </c>
      <c r="BG74" s="24">
        <f t="shared" si="60"/>
        <v>1188.8299250839575</v>
      </c>
      <c r="BH74" s="24">
        <f t="shared" si="60"/>
        <v>1177.8824246823958</v>
      </c>
      <c r="BI74" s="232">
        <f t="shared" si="60"/>
        <v>999.60409499654122</v>
      </c>
      <c r="BJ74" s="24">
        <f t="shared" si="60"/>
        <v>1234.9162479429513</v>
      </c>
      <c r="BK74" s="24">
        <f t="shared" si="60"/>
        <v>953.39894545454604</v>
      </c>
      <c r="BL74" s="24">
        <f t="shared" si="60"/>
        <v>879.63463199762657</v>
      </c>
      <c r="BM74" s="24">
        <f t="shared" si="60"/>
        <v>923.66698703458769</v>
      </c>
      <c r="BN74" s="24">
        <f t="shared" si="60"/>
        <v>841.91954513895212</v>
      </c>
      <c r="BO74" s="24">
        <f t="shared" si="60"/>
        <v>818.11070898609785</v>
      </c>
      <c r="BP74" s="232">
        <f t="shared" si="60"/>
        <v>662.15503356609781</v>
      </c>
      <c r="BQ74" s="24">
        <f t="shared" si="60"/>
        <v>636.21275843678154</v>
      </c>
      <c r="BR74" s="232">
        <f t="shared" si="60"/>
        <v>658.90558761537761</v>
      </c>
      <c r="BS74" s="24">
        <f t="shared" si="60"/>
        <v>653.17934871722002</v>
      </c>
      <c r="BT74" s="24">
        <f t="shared" si="60"/>
        <v>470.35131194382149</v>
      </c>
      <c r="BU74" s="24">
        <f t="shared" si="60"/>
        <v>666.78837112689939</v>
      </c>
      <c r="BV74" s="24">
        <f>4*(BV43+35)/((BU68+BV68)/2/1000)</f>
        <v>541.30108442121627</v>
      </c>
      <c r="BW74" s="25">
        <f t="shared" ref="BW74:CU74" si="61">4*BW43/((BV68+BW68)/2/1000)</f>
        <v>468.23964673086499</v>
      </c>
      <c r="BX74" s="25">
        <f t="shared" si="61"/>
        <v>529.9641748275651</v>
      </c>
      <c r="BY74" s="25">
        <f t="shared" si="61"/>
        <v>706.08853170926147</v>
      </c>
      <c r="BZ74" s="24">
        <f t="shared" si="61"/>
        <v>584.98079970279537</v>
      </c>
      <c r="CA74" s="24">
        <f t="shared" si="61"/>
        <v>1416.0092097154304</v>
      </c>
      <c r="CB74" s="24">
        <f t="shared" si="61"/>
        <v>1223.8211563024227</v>
      </c>
      <c r="CC74" s="24">
        <f t="shared" si="61"/>
        <v>1372.86531768123</v>
      </c>
      <c r="CD74" s="24">
        <f t="shared" si="61"/>
        <v>1570.6781637024687</v>
      </c>
      <c r="CE74" s="24">
        <f t="shared" si="61"/>
        <v>2228.1026721016133</v>
      </c>
      <c r="CF74" s="24">
        <f t="shared" si="61"/>
        <v>1453.8152598503195</v>
      </c>
      <c r="CG74" s="24">
        <f t="shared" si="61"/>
        <v>1478.0134401139269</v>
      </c>
      <c r="CH74" s="24">
        <f t="shared" si="61"/>
        <v>1406.5356790012879</v>
      </c>
      <c r="CI74" s="24">
        <f t="shared" si="61"/>
        <v>1232.7734876767831</v>
      </c>
      <c r="CJ74" s="24">
        <f t="shared" si="61"/>
        <v>796.56028939547173</v>
      </c>
      <c r="CK74" s="24">
        <f t="shared" si="61"/>
        <v>1146.3282869240122</v>
      </c>
      <c r="CL74" s="24">
        <f t="shared" si="61"/>
        <v>1294.0685232907888</v>
      </c>
      <c r="CM74" s="24">
        <f t="shared" si="61"/>
        <v>1287.7666565166007</v>
      </c>
      <c r="CN74" s="24">
        <f t="shared" si="61"/>
        <v>1193.6008216519065</v>
      </c>
      <c r="CO74" s="24">
        <f t="shared" si="61"/>
        <v>1266.071783485304</v>
      </c>
      <c r="CP74" s="24">
        <f t="shared" si="61"/>
        <v>1228.6297979670342</v>
      </c>
      <c r="CQ74" s="24">
        <f t="shared" si="61"/>
        <v>1343.7332741763817</v>
      </c>
      <c r="CR74" s="25">
        <f t="shared" si="61"/>
        <v>1194.7871181006351</v>
      </c>
      <c r="CS74" s="25">
        <f t="shared" si="61"/>
        <v>1313.0006988122432</v>
      </c>
      <c r="CT74" s="25">
        <f t="shared" si="61"/>
        <v>1421.4454609160091</v>
      </c>
      <c r="CU74" s="69">
        <f t="shared" si="61"/>
        <v>1556.0983666936193</v>
      </c>
    </row>
    <row r="75" spans="1:264" x14ac:dyDescent="0.2">
      <c r="A75" s="6"/>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5"/>
      <c r="AD75" s="15"/>
      <c r="AE75" s="15"/>
      <c r="AF75" s="15"/>
      <c r="AG75" s="15"/>
      <c r="AH75" s="15"/>
      <c r="AI75" s="15"/>
      <c r="AJ75" s="15"/>
      <c r="AK75" s="4"/>
      <c r="AL75" s="15"/>
      <c r="AM75" s="15"/>
      <c r="AN75" s="15"/>
      <c r="AO75" s="15"/>
      <c r="AP75" s="15"/>
      <c r="AQ75" s="15"/>
      <c r="AR75" s="15"/>
      <c r="AS75" s="15"/>
      <c r="AT75" s="15"/>
      <c r="AU75" s="15"/>
      <c r="AV75" s="15"/>
      <c r="AW75" s="15"/>
      <c r="AX75" s="15"/>
      <c r="AY75" s="15"/>
      <c r="AZ75" s="15"/>
      <c r="BA75" s="15"/>
      <c r="BB75" s="15"/>
      <c r="BC75" s="15"/>
      <c r="BD75" s="15"/>
      <c r="BE75" s="15"/>
      <c r="BF75" s="14"/>
      <c r="BG75" s="14"/>
      <c r="BH75" s="14"/>
      <c r="BI75" s="4"/>
      <c r="BJ75" s="14"/>
      <c r="BK75" s="14"/>
      <c r="BL75" s="14"/>
      <c r="BM75" s="14"/>
      <c r="BN75" s="14"/>
      <c r="BO75" s="14"/>
      <c r="BP75" s="4"/>
      <c r="BQ75" s="14"/>
      <c r="BR75" s="4"/>
      <c r="BS75" s="14"/>
      <c r="BT75" s="14"/>
      <c r="BU75" s="14"/>
      <c r="BV75" s="14"/>
      <c r="BW75" s="15"/>
      <c r="BX75" s="15"/>
      <c r="BY75" s="15"/>
      <c r="BZ75" s="14"/>
      <c r="CA75" s="14"/>
      <c r="CB75" s="14"/>
      <c r="CC75" s="14"/>
      <c r="CD75" s="14"/>
      <c r="CE75" s="14"/>
      <c r="CF75" s="14"/>
      <c r="CG75" s="14"/>
      <c r="CH75" s="14"/>
      <c r="CI75" s="14"/>
      <c r="CJ75" s="14"/>
      <c r="CK75" s="14"/>
      <c r="CL75" s="14"/>
      <c r="CM75" s="14"/>
      <c r="CN75" s="14"/>
      <c r="CO75" s="14"/>
      <c r="CP75" s="14"/>
      <c r="CQ75" s="14"/>
      <c r="CR75" s="15"/>
      <c r="CS75" s="15"/>
      <c r="CT75" s="15"/>
      <c r="CU75" s="361"/>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row>
    <row r="76" spans="1:264" x14ac:dyDescent="0.2">
      <c r="A76" s="135" t="s">
        <v>199</v>
      </c>
      <c r="B76" s="2"/>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5"/>
      <c r="AD76" s="15"/>
      <c r="AE76" s="15"/>
      <c r="AF76" s="15"/>
      <c r="AG76" s="15"/>
      <c r="AH76" s="15"/>
      <c r="AI76" s="15"/>
      <c r="AJ76" s="14"/>
      <c r="AK76" s="4"/>
      <c r="AL76" s="14"/>
      <c r="AM76" s="15"/>
      <c r="AN76" s="14"/>
      <c r="AO76" s="14"/>
      <c r="AP76" s="14"/>
      <c r="AQ76" s="14"/>
      <c r="AR76" s="14"/>
      <c r="AS76" s="4"/>
      <c r="AT76" s="15"/>
      <c r="AU76" s="15"/>
      <c r="AV76" s="14"/>
      <c r="AW76" s="14"/>
      <c r="AX76" s="14"/>
      <c r="AY76" s="14"/>
      <c r="AZ76" s="14"/>
      <c r="BA76" s="14"/>
      <c r="BB76" s="14"/>
      <c r="BC76" s="14"/>
      <c r="BD76" s="14"/>
      <c r="BE76" s="14"/>
      <c r="BF76" s="14"/>
      <c r="BG76" s="14"/>
      <c r="BH76" s="14"/>
      <c r="BI76" s="15"/>
      <c r="BJ76" s="14"/>
      <c r="BK76" s="14"/>
      <c r="BL76" s="14"/>
      <c r="BM76" s="14"/>
      <c r="BN76" s="14"/>
      <c r="BO76" s="14"/>
      <c r="BP76" s="4"/>
      <c r="BQ76" s="14"/>
      <c r="BR76" s="4"/>
      <c r="BS76" s="14"/>
      <c r="BT76" s="14"/>
      <c r="BU76" s="14"/>
      <c r="BV76" s="14"/>
      <c r="BW76" s="15"/>
      <c r="BX76" s="15"/>
      <c r="BY76" s="15"/>
      <c r="BZ76" s="14"/>
      <c r="CA76" s="14"/>
      <c r="CB76" s="14"/>
      <c r="CC76" s="14"/>
      <c r="CD76" s="14"/>
      <c r="CE76" s="14"/>
      <c r="CF76" s="14"/>
      <c r="CG76" s="14"/>
      <c r="CH76" s="14"/>
      <c r="CI76" s="14"/>
      <c r="CJ76" s="14"/>
      <c r="CK76" s="14"/>
      <c r="CL76" s="14"/>
      <c r="CM76" s="14"/>
      <c r="CN76" s="14"/>
      <c r="CO76" s="14"/>
      <c r="CP76" s="14"/>
      <c r="CQ76" s="14"/>
      <c r="CR76" s="15"/>
      <c r="CS76" s="15"/>
      <c r="CT76" s="15"/>
      <c r="CU76" s="361"/>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row>
    <row r="77" spans="1:264" x14ac:dyDescent="0.2">
      <c r="A77" s="23" t="s">
        <v>161</v>
      </c>
      <c r="B77" s="231"/>
      <c r="C77" s="24" t="s">
        <v>49</v>
      </c>
      <c r="D77" s="24" t="s">
        <v>49</v>
      </c>
      <c r="E77" s="24" t="s">
        <v>49</v>
      </c>
      <c r="F77" s="24" t="s">
        <v>49</v>
      </c>
      <c r="G77" s="24" t="s">
        <v>49</v>
      </c>
      <c r="H77" s="24" t="s">
        <v>49</v>
      </c>
      <c r="I77" s="24" t="s">
        <v>49</v>
      </c>
      <c r="J77" s="24" t="s">
        <v>49</v>
      </c>
      <c r="K77" s="24" t="s">
        <v>49</v>
      </c>
      <c r="L77" s="24" t="s">
        <v>49</v>
      </c>
      <c r="M77" s="24" t="s">
        <v>49</v>
      </c>
      <c r="N77" s="24" t="s">
        <v>49</v>
      </c>
      <c r="O77" s="24" t="s">
        <v>49</v>
      </c>
      <c r="P77" s="24" t="s">
        <v>49</v>
      </c>
      <c r="Q77" s="24" t="s">
        <v>49</v>
      </c>
      <c r="R77" s="24" t="s">
        <v>49</v>
      </c>
      <c r="S77" s="24" t="s">
        <v>49</v>
      </c>
      <c r="T77" s="24" t="s">
        <v>49</v>
      </c>
      <c r="U77" s="24" t="s">
        <v>49</v>
      </c>
      <c r="V77" s="24" t="s">
        <v>49</v>
      </c>
      <c r="W77" s="24" t="s">
        <v>49</v>
      </c>
      <c r="X77" s="24" t="s">
        <v>49</v>
      </c>
      <c r="Y77" s="24" t="s">
        <v>49</v>
      </c>
      <c r="Z77" s="24" t="s">
        <v>49</v>
      </c>
      <c r="AA77" s="24" t="s">
        <v>49</v>
      </c>
      <c r="AB77" s="24" t="s">
        <v>49</v>
      </c>
      <c r="AC77" s="25" t="s">
        <v>49</v>
      </c>
      <c r="AD77" s="25" t="s">
        <v>49</v>
      </c>
      <c r="AE77" s="25" t="s">
        <v>49</v>
      </c>
      <c r="AF77" s="25" t="s">
        <v>49</v>
      </c>
      <c r="AG77" s="25" t="s">
        <v>49</v>
      </c>
      <c r="AH77" s="25" t="s">
        <v>49</v>
      </c>
      <c r="AI77" s="25" t="s">
        <v>49</v>
      </c>
      <c r="AJ77" s="24" t="s">
        <v>49</v>
      </c>
      <c r="AK77" s="25" t="s">
        <v>49</v>
      </c>
      <c r="AL77" s="24" t="s">
        <v>49</v>
      </c>
      <c r="AM77" s="25" t="s">
        <v>49</v>
      </c>
      <c r="AN77" s="24" t="s">
        <v>49</v>
      </c>
      <c r="AO77" s="24" t="s">
        <v>49</v>
      </c>
      <c r="AP77" s="24" t="s">
        <v>49</v>
      </c>
      <c r="AQ77" s="24" t="s">
        <v>49</v>
      </c>
      <c r="AR77" s="24" t="s">
        <v>49</v>
      </c>
      <c r="AS77" s="232" t="s">
        <v>49</v>
      </c>
      <c r="AT77" s="25" t="s">
        <v>49</v>
      </c>
      <c r="AU77" s="25" t="s">
        <v>49</v>
      </c>
      <c r="AV77" s="24" t="s">
        <v>49</v>
      </c>
      <c r="AW77" s="24" t="s">
        <v>49</v>
      </c>
      <c r="AX77" s="24" t="s">
        <v>49</v>
      </c>
      <c r="AY77" s="24" t="s">
        <v>49</v>
      </c>
      <c r="AZ77" s="24" t="s">
        <v>49</v>
      </c>
      <c r="BA77" s="24" t="s">
        <v>49</v>
      </c>
      <c r="BB77" s="24" t="s">
        <v>49</v>
      </c>
      <c r="BC77" s="24" t="s">
        <v>49</v>
      </c>
      <c r="BD77" s="24" t="s">
        <v>49</v>
      </c>
      <c r="BE77" s="24" t="s">
        <v>49</v>
      </c>
      <c r="BF77" s="24" t="s">
        <v>49</v>
      </c>
      <c r="BG77" s="24">
        <v>7939.7</v>
      </c>
      <c r="BH77" s="24">
        <v>4022</v>
      </c>
      <c r="BI77" s="25">
        <v>4154</v>
      </c>
      <c r="BJ77" s="24">
        <v>4123</v>
      </c>
      <c r="BK77" s="24">
        <v>4525</v>
      </c>
      <c r="BL77" s="24">
        <v>4958.2</v>
      </c>
      <c r="BM77" s="24">
        <v>5102</v>
      </c>
      <c r="BN77" s="24">
        <v>5457.9830662599989</v>
      </c>
      <c r="BO77" s="24">
        <v>7910.481252979991</v>
      </c>
      <c r="BP77" s="232">
        <v>7206.4285610899933</v>
      </c>
      <c r="BQ77" s="24">
        <v>5353.7595602800056</v>
      </c>
      <c r="BR77" s="232">
        <v>6601.4229058099918</v>
      </c>
      <c r="BS77" s="24">
        <v>7073.0152325099989</v>
      </c>
      <c r="BT77" s="24">
        <v>5121.0328322200148</v>
      </c>
      <c r="BU77" s="24">
        <v>7179.5046112499977</v>
      </c>
      <c r="BV77" s="24">
        <v>6881.4409721222519</v>
      </c>
      <c r="BW77" s="25">
        <v>7298.7897590299926</v>
      </c>
      <c r="BX77" s="25">
        <v>7188.4541603099879</v>
      </c>
      <c r="BY77" s="25">
        <v>8627.7539306400067</v>
      </c>
      <c r="BZ77" s="24">
        <v>7966.8103195600088</v>
      </c>
      <c r="CA77" s="24">
        <v>19331.539346580033</v>
      </c>
      <c r="CB77" s="24">
        <v>13061.571032170006</v>
      </c>
      <c r="CC77" s="24">
        <v>13747.495642960017</v>
      </c>
      <c r="CD77" s="24">
        <v>17513.917525590001</v>
      </c>
      <c r="CE77" s="24">
        <v>28517.78427321999</v>
      </c>
      <c r="CF77" s="24">
        <v>18113.585649739976</v>
      </c>
      <c r="CG77" s="24">
        <v>16283.418950009978</v>
      </c>
      <c r="CH77" s="24">
        <v>18620.807252940031</v>
      </c>
      <c r="CI77" s="24">
        <v>15749.908884979905</v>
      </c>
      <c r="CJ77" s="24">
        <v>9506.0144742449775</v>
      </c>
      <c r="CK77" s="24">
        <v>8071.4120041407177</v>
      </c>
      <c r="CL77" s="24">
        <v>1942.9677239010873</v>
      </c>
      <c r="CM77" s="24">
        <v>13339.913343055425</v>
      </c>
      <c r="CN77" s="24">
        <v>17229.962626402532</v>
      </c>
      <c r="CO77" s="24">
        <v>19149.644042100001</v>
      </c>
      <c r="CP77" s="24">
        <v>16171.221354685515</v>
      </c>
      <c r="CQ77" s="24">
        <v>19600.321395264542</v>
      </c>
      <c r="CR77" s="25">
        <v>17489.724029494508</v>
      </c>
      <c r="CS77" s="25">
        <v>20204.44475531378</v>
      </c>
      <c r="CT77" s="25">
        <v>20190.247501182665</v>
      </c>
      <c r="CU77" s="69">
        <v>17407.285137565188</v>
      </c>
      <c r="CV77" s="354"/>
      <c r="CW77" s="354"/>
      <c r="CX77" s="354"/>
      <c r="CY77" s="353"/>
      <c r="CZ77" s="353"/>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row>
    <row r="78" spans="1:264" x14ac:dyDescent="0.2">
      <c r="A78" s="23" t="s">
        <v>162</v>
      </c>
      <c r="B78" s="2"/>
      <c r="C78" s="170" t="s">
        <v>49</v>
      </c>
      <c r="D78" s="24" t="s">
        <v>49</v>
      </c>
      <c r="E78" s="24" t="s">
        <v>49</v>
      </c>
      <c r="F78" s="24" t="s">
        <v>49</v>
      </c>
      <c r="G78" s="24" t="s">
        <v>49</v>
      </c>
      <c r="H78" s="24" t="s">
        <v>49</v>
      </c>
      <c r="I78" s="24" t="s">
        <v>49</v>
      </c>
      <c r="J78" s="24" t="s">
        <v>49</v>
      </c>
      <c r="K78" s="24" t="s">
        <v>49</v>
      </c>
      <c r="L78" s="24" t="s">
        <v>49</v>
      </c>
      <c r="M78" s="24" t="s">
        <v>49</v>
      </c>
      <c r="N78" s="24" t="s">
        <v>49</v>
      </c>
      <c r="O78" s="24" t="s">
        <v>49</v>
      </c>
      <c r="P78" s="24" t="s">
        <v>49</v>
      </c>
      <c r="Q78" s="24" t="s">
        <v>49</v>
      </c>
      <c r="R78" s="24" t="s">
        <v>49</v>
      </c>
      <c r="S78" s="24" t="s">
        <v>49</v>
      </c>
      <c r="T78" s="24" t="s">
        <v>49</v>
      </c>
      <c r="U78" s="24" t="s">
        <v>49</v>
      </c>
      <c r="V78" s="24" t="s">
        <v>49</v>
      </c>
      <c r="W78" s="24" t="s">
        <v>49</v>
      </c>
      <c r="X78" s="24" t="s">
        <v>49</v>
      </c>
      <c r="Y78" s="24" t="s">
        <v>49</v>
      </c>
      <c r="Z78" s="24" t="s">
        <v>49</v>
      </c>
      <c r="AA78" s="24" t="s">
        <v>49</v>
      </c>
      <c r="AB78" s="24" t="s">
        <v>49</v>
      </c>
      <c r="AC78" s="24" t="s">
        <v>49</v>
      </c>
      <c r="AD78" s="24" t="s">
        <v>49</v>
      </c>
      <c r="AE78" s="24" t="s">
        <v>49</v>
      </c>
      <c r="AF78" s="24" t="s">
        <v>49</v>
      </c>
      <c r="AG78" s="24" t="s">
        <v>49</v>
      </c>
      <c r="AH78" s="24" t="s">
        <v>49</v>
      </c>
      <c r="AI78" s="24" t="s">
        <v>49</v>
      </c>
      <c r="AJ78" s="24" t="s">
        <v>49</v>
      </c>
      <c r="AK78" s="24" t="s">
        <v>49</v>
      </c>
      <c r="AL78" s="24" t="s">
        <v>49</v>
      </c>
      <c r="AM78" s="24" t="s">
        <v>49</v>
      </c>
      <c r="AN78" s="24" t="s">
        <v>49</v>
      </c>
      <c r="AO78" s="24" t="s">
        <v>49</v>
      </c>
      <c r="AP78" s="24" t="s">
        <v>49</v>
      </c>
      <c r="AQ78" s="24" t="s">
        <v>49</v>
      </c>
      <c r="AR78" s="24" t="s">
        <v>49</v>
      </c>
      <c r="AS78" s="24" t="s">
        <v>49</v>
      </c>
      <c r="AT78" s="24" t="s">
        <v>49</v>
      </c>
      <c r="AU78" s="24" t="s">
        <v>49</v>
      </c>
      <c r="AV78" s="24" t="s">
        <v>49</v>
      </c>
      <c r="AW78" s="24" t="s">
        <v>49</v>
      </c>
      <c r="AX78" s="24" t="s">
        <v>49</v>
      </c>
      <c r="AY78" s="24" t="s">
        <v>49</v>
      </c>
      <c r="AZ78" s="24" t="s">
        <v>49</v>
      </c>
      <c r="BA78" s="24" t="s">
        <v>49</v>
      </c>
      <c r="BB78" s="24" t="s">
        <v>49</v>
      </c>
      <c r="BC78" s="24" t="s">
        <v>49</v>
      </c>
      <c r="BD78" s="24" t="s">
        <v>49</v>
      </c>
      <c r="BE78" s="24" t="s">
        <v>49</v>
      </c>
      <c r="BF78" s="24" t="s">
        <v>49</v>
      </c>
      <c r="BG78" s="24">
        <v>1945.3</v>
      </c>
      <c r="BH78" s="24">
        <v>324</v>
      </c>
      <c r="BI78" s="232">
        <v>694</v>
      </c>
      <c r="BJ78" s="24">
        <v>1359</v>
      </c>
      <c r="BK78" s="24">
        <v>322</v>
      </c>
      <c r="BL78" s="24">
        <v>4344.8</v>
      </c>
      <c r="BM78" s="24">
        <v>743</v>
      </c>
      <c r="BN78" s="24">
        <v>617.70146507999539</v>
      </c>
      <c r="BO78" s="24">
        <v>591.90536028000236</v>
      </c>
      <c r="BP78" s="232">
        <v>975.15754036999829</v>
      </c>
      <c r="BQ78" s="24">
        <v>379.1225933300023</v>
      </c>
      <c r="BR78" s="232">
        <v>-2880.7412556099889</v>
      </c>
      <c r="BS78" s="24">
        <v>727.7579353399982</v>
      </c>
      <c r="BT78" s="24">
        <v>-289.48889455001068</v>
      </c>
      <c r="BU78" s="24">
        <v>766.06802648000121</v>
      </c>
      <c r="BV78" s="24">
        <v>-478.94586431000141</v>
      </c>
      <c r="BW78" s="25">
        <v>271.91807034000215</v>
      </c>
      <c r="BX78" s="25">
        <v>1094.6512279400024</v>
      </c>
      <c r="BY78" s="25">
        <v>1285.1164688700082</v>
      </c>
      <c r="BZ78" s="24">
        <v>-948.38430529999778</v>
      </c>
      <c r="CA78" s="24">
        <v>2505.4537160399723</v>
      </c>
      <c r="CB78" s="24">
        <v>6229.9764997300026</v>
      </c>
      <c r="CC78" s="24">
        <v>2130.4960298799824</v>
      </c>
      <c r="CD78" s="24">
        <v>1177.1605823500099</v>
      </c>
      <c r="CE78" s="24">
        <v>1846.9344080899828</v>
      </c>
      <c r="CF78" s="24">
        <v>4795.5980384900013</v>
      </c>
      <c r="CG78" s="24">
        <v>2071.9519453000039</v>
      </c>
      <c r="CH78" s="24">
        <v>-542.96158756001</v>
      </c>
      <c r="CI78" s="24">
        <v>431.61248203999202</v>
      </c>
      <c r="CJ78" s="24">
        <v>-1101.8663843374129</v>
      </c>
      <c r="CK78" s="24">
        <v>-2152.5776244008512</v>
      </c>
      <c r="CL78" s="24">
        <v>-8640.0768267803487</v>
      </c>
      <c r="CM78" s="24">
        <v>2837.6523964975931</v>
      </c>
      <c r="CN78" s="24">
        <v>-1375.6335192735301</v>
      </c>
      <c r="CO78" s="24">
        <v>1799.4861427261401</v>
      </c>
      <c r="CP78" s="24">
        <v>1509.1013056890167</v>
      </c>
      <c r="CQ78" s="24">
        <v>2026.956146906663</v>
      </c>
      <c r="CR78" s="25">
        <v>-127.45500652921621</v>
      </c>
      <c r="CS78" s="25">
        <v>1077.9997533199999</v>
      </c>
      <c r="CT78" s="25">
        <v>4572.7035340000002</v>
      </c>
      <c r="CU78" s="69">
        <v>3847.2197994551698</v>
      </c>
      <c r="CV78" s="354"/>
      <c r="CW78" s="354"/>
      <c r="CX78" s="354"/>
      <c r="CY78" s="353"/>
      <c r="CZ78" s="353"/>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row>
    <row r="79" spans="1:264" x14ac:dyDescent="0.2">
      <c r="A79" s="23" t="s">
        <v>163</v>
      </c>
      <c r="B79" s="2"/>
      <c r="C79" s="170" t="s">
        <v>49</v>
      </c>
      <c r="D79" s="24" t="s">
        <v>49</v>
      </c>
      <c r="E79" s="24" t="s">
        <v>49</v>
      </c>
      <c r="F79" s="24" t="s">
        <v>49</v>
      </c>
      <c r="G79" s="24" t="s">
        <v>49</v>
      </c>
      <c r="H79" s="24" t="s">
        <v>49</v>
      </c>
      <c r="I79" s="24" t="s">
        <v>49</v>
      </c>
      <c r="J79" s="24" t="s">
        <v>49</v>
      </c>
      <c r="K79" s="24" t="s">
        <v>49</v>
      </c>
      <c r="L79" s="24" t="s">
        <v>49</v>
      </c>
      <c r="M79" s="24" t="s">
        <v>49</v>
      </c>
      <c r="N79" s="24" t="s">
        <v>49</v>
      </c>
      <c r="O79" s="24" t="s">
        <v>49</v>
      </c>
      <c r="P79" s="24" t="s">
        <v>49</v>
      </c>
      <c r="Q79" s="24" t="s">
        <v>49</v>
      </c>
      <c r="R79" s="24" t="s">
        <v>49</v>
      </c>
      <c r="S79" s="24" t="s">
        <v>49</v>
      </c>
      <c r="T79" s="24" t="s">
        <v>49</v>
      </c>
      <c r="U79" s="24" t="s">
        <v>49</v>
      </c>
      <c r="V79" s="24" t="s">
        <v>49</v>
      </c>
      <c r="W79" s="24" t="s">
        <v>49</v>
      </c>
      <c r="X79" s="24" t="s">
        <v>49</v>
      </c>
      <c r="Y79" s="24" t="s">
        <v>49</v>
      </c>
      <c r="Z79" s="24" t="s">
        <v>49</v>
      </c>
      <c r="AA79" s="24" t="s">
        <v>49</v>
      </c>
      <c r="AB79" s="24" t="s">
        <v>49</v>
      </c>
      <c r="AC79" s="24" t="s">
        <v>49</v>
      </c>
      <c r="AD79" s="24" t="s">
        <v>49</v>
      </c>
      <c r="AE79" s="24" t="s">
        <v>49</v>
      </c>
      <c r="AF79" s="24" t="s">
        <v>49</v>
      </c>
      <c r="AG79" s="24" t="s">
        <v>49</v>
      </c>
      <c r="AH79" s="24" t="s">
        <v>49</v>
      </c>
      <c r="AI79" s="24" t="s">
        <v>49</v>
      </c>
      <c r="AJ79" s="24" t="s">
        <v>49</v>
      </c>
      <c r="AK79" s="24" t="s">
        <v>49</v>
      </c>
      <c r="AL79" s="24" t="s">
        <v>49</v>
      </c>
      <c r="AM79" s="24" t="s">
        <v>49</v>
      </c>
      <c r="AN79" s="24" t="s">
        <v>49</v>
      </c>
      <c r="AO79" s="24" t="s">
        <v>49</v>
      </c>
      <c r="AP79" s="24" t="s">
        <v>49</v>
      </c>
      <c r="AQ79" s="24" t="s">
        <v>49</v>
      </c>
      <c r="AR79" s="24" t="s">
        <v>49</v>
      </c>
      <c r="AS79" s="24" t="s">
        <v>49</v>
      </c>
      <c r="AT79" s="24" t="s">
        <v>49</v>
      </c>
      <c r="AU79" s="24" t="s">
        <v>49</v>
      </c>
      <c r="AV79" s="24" t="s">
        <v>49</v>
      </c>
      <c r="AW79" s="24" t="s">
        <v>49</v>
      </c>
      <c r="AX79" s="24" t="s">
        <v>49</v>
      </c>
      <c r="AY79" s="24" t="s">
        <v>49</v>
      </c>
      <c r="AZ79" s="24" t="s">
        <v>49</v>
      </c>
      <c r="BA79" s="24" t="s">
        <v>49</v>
      </c>
      <c r="BB79" s="24" t="s">
        <v>49</v>
      </c>
      <c r="BC79" s="24" t="s">
        <v>49</v>
      </c>
      <c r="BD79" s="24" t="s">
        <v>49</v>
      </c>
      <c r="BE79" s="24" t="s">
        <v>49</v>
      </c>
      <c r="BF79" s="24" t="s">
        <v>49</v>
      </c>
      <c r="BG79" s="24">
        <v>133</v>
      </c>
      <c r="BH79" s="24">
        <v>26</v>
      </c>
      <c r="BI79" s="232">
        <v>160</v>
      </c>
      <c r="BJ79" s="24">
        <v>308</v>
      </c>
      <c r="BK79" s="24">
        <v>108</v>
      </c>
      <c r="BL79" s="24">
        <v>128</v>
      </c>
      <c r="BM79" s="24">
        <v>77</v>
      </c>
      <c r="BN79" s="24">
        <v>138.16671528000077</v>
      </c>
      <c r="BO79" s="24">
        <v>118.94651649000014</v>
      </c>
      <c r="BP79" s="232">
        <v>528.93706666000014</v>
      </c>
      <c r="BQ79" s="24">
        <v>166.42519941000012</v>
      </c>
      <c r="BR79" s="232">
        <v>-171.61604328000061</v>
      </c>
      <c r="BS79" s="24">
        <v>163.22551284999992</v>
      </c>
      <c r="BT79" s="24">
        <v>12.840283020000996</v>
      </c>
      <c r="BU79" s="24">
        <v>433.51136703000032</v>
      </c>
      <c r="BV79" s="24">
        <v>-39.550169870000076</v>
      </c>
      <c r="BW79" s="25">
        <v>-1.2842397299994133</v>
      </c>
      <c r="BX79" s="25">
        <v>-15.522343329999558</v>
      </c>
      <c r="BY79" s="25">
        <v>26.675938240000448</v>
      </c>
      <c r="BZ79" s="24">
        <v>-203.27792310999948</v>
      </c>
      <c r="CA79" s="24">
        <v>48.52343778999775</v>
      </c>
      <c r="CB79" s="24">
        <v>87.043512589999736</v>
      </c>
      <c r="CC79" s="24">
        <v>444.51828604000065</v>
      </c>
      <c r="CD79" s="24">
        <v>-18.602731850001199</v>
      </c>
      <c r="CE79" s="24">
        <v>180.09631457000171</v>
      </c>
      <c r="CF79" s="24">
        <v>34.612049869998991</v>
      </c>
      <c r="CG79" s="24">
        <v>92.90199836999966</v>
      </c>
      <c r="CH79" s="24">
        <v>-201.803208299999</v>
      </c>
      <c r="CI79" s="24">
        <v>387.62750723000079</v>
      </c>
      <c r="CJ79" s="24">
        <v>-0.88640764000000871</v>
      </c>
      <c r="CK79" s="24">
        <v>114.64718844645699</v>
      </c>
      <c r="CL79" s="24">
        <v>-750.38641566585204</v>
      </c>
      <c r="CM79" s="24">
        <v>838.61419631778801</v>
      </c>
      <c r="CN79" s="24">
        <v>220.39007318175999</v>
      </c>
      <c r="CO79" s="24">
        <v>215.47838053513999</v>
      </c>
      <c r="CP79" s="24">
        <v>390.1797923890901</v>
      </c>
      <c r="CQ79" s="24">
        <v>363.80902234239693</v>
      </c>
      <c r="CR79" s="25">
        <v>-196.27723087310221</v>
      </c>
      <c r="CS79" s="25">
        <v>742.53913599999998</v>
      </c>
      <c r="CT79" s="25">
        <v>-115.644615</v>
      </c>
      <c r="CU79" s="69">
        <v>1106.6610402992089</v>
      </c>
      <c r="CV79" s="354"/>
      <c r="CW79" s="354"/>
      <c r="CX79" s="354"/>
      <c r="CY79" s="353"/>
      <c r="CZ79" s="353"/>
    </row>
    <row r="80" spans="1:264" s="188" customFormat="1" x14ac:dyDescent="0.2">
      <c r="A80" s="185" t="s">
        <v>200</v>
      </c>
      <c r="B80" s="277"/>
      <c r="C80" s="28" t="s">
        <v>34</v>
      </c>
      <c r="D80" s="28" t="s">
        <v>34</v>
      </c>
      <c r="E80" s="28" t="s">
        <v>34</v>
      </c>
      <c r="F80" s="28" t="s">
        <v>34</v>
      </c>
      <c r="G80" s="28" t="s">
        <v>34</v>
      </c>
      <c r="H80" s="28" t="s">
        <v>34</v>
      </c>
      <c r="I80" s="28" t="s">
        <v>34</v>
      </c>
      <c r="J80" s="28" t="s">
        <v>34</v>
      </c>
      <c r="K80" s="28">
        <v>362.56</v>
      </c>
      <c r="L80" s="28">
        <v>163.858</v>
      </c>
      <c r="M80" s="28">
        <v>467.76600000000002</v>
      </c>
      <c r="N80" s="28">
        <v>663.51800000000003</v>
      </c>
      <c r="O80" s="28">
        <v>1194.712</v>
      </c>
      <c r="P80" s="28">
        <v>548.32799999999997</v>
      </c>
      <c r="Q80" s="28">
        <v>356.17700000000002</v>
      </c>
      <c r="R80" s="28">
        <v>1195.723</v>
      </c>
      <c r="S80" s="28">
        <v>1541.278</v>
      </c>
      <c r="T80" s="28">
        <v>802.87300000000005</v>
      </c>
      <c r="U80" s="28">
        <v>1255.0429999999999</v>
      </c>
      <c r="V80" s="28">
        <v>2060.7420000000002</v>
      </c>
      <c r="W80" s="28">
        <v>2367.7689999999998</v>
      </c>
      <c r="X80" s="28">
        <v>1631.527</v>
      </c>
      <c r="Y80" s="28">
        <v>537.36599999999999</v>
      </c>
      <c r="Z80" s="28">
        <v>1495.5050000000001</v>
      </c>
      <c r="AA80" s="28">
        <v>1759.519</v>
      </c>
      <c r="AB80" s="28">
        <v>1084.5630000000001</v>
      </c>
      <c r="AC80" s="28">
        <v>1223.5999999999999</v>
      </c>
      <c r="AD80" s="28">
        <v>935.5</v>
      </c>
      <c r="AE80" s="28">
        <v>2789</v>
      </c>
      <c r="AF80" s="28">
        <v>1424</v>
      </c>
      <c r="AG80" s="28">
        <v>647</v>
      </c>
      <c r="AH80" s="28">
        <v>1901</v>
      </c>
      <c r="AI80" s="28">
        <v>1999</v>
      </c>
      <c r="AJ80" s="28">
        <v>2497</v>
      </c>
      <c r="AK80" s="28">
        <v>2883</v>
      </c>
      <c r="AL80" s="28">
        <v>2567</v>
      </c>
      <c r="AM80" s="28">
        <v>4421</v>
      </c>
      <c r="AN80" s="28">
        <v>2641</v>
      </c>
      <c r="AO80" s="28">
        <v>1370</v>
      </c>
      <c r="AP80" s="28">
        <v>1134</v>
      </c>
      <c r="AQ80" s="28">
        <v>4062</v>
      </c>
      <c r="AR80" s="28">
        <v>727</v>
      </c>
      <c r="AS80" s="28">
        <v>1548</v>
      </c>
      <c r="AT80" s="28">
        <v>121</v>
      </c>
      <c r="AU80" s="28">
        <v>1911</v>
      </c>
      <c r="AV80" s="28">
        <v>1075</v>
      </c>
      <c r="AW80" s="28">
        <v>971</v>
      </c>
      <c r="AX80" s="28">
        <v>1418</v>
      </c>
      <c r="AY80" s="28">
        <v>3287</v>
      </c>
      <c r="AZ80" s="28">
        <v>2861</v>
      </c>
      <c r="BA80" s="28">
        <v>2263</v>
      </c>
      <c r="BB80" s="28">
        <v>2487</v>
      </c>
      <c r="BC80" s="28">
        <v>5522</v>
      </c>
      <c r="BD80" s="28">
        <v>4040</v>
      </c>
      <c r="BE80" s="28">
        <v>4561</v>
      </c>
      <c r="BF80" s="28">
        <v>5939</v>
      </c>
      <c r="BG80" s="28">
        <v>10018</v>
      </c>
      <c r="BH80" s="28">
        <v>4372</v>
      </c>
      <c r="BI80" s="28">
        <v>5008</v>
      </c>
      <c r="BJ80" s="28">
        <v>5790</v>
      </c>
      <c r="BK80" s="28">
        <v>4955</v>
      </c>
      <c r="BL80" s="28">
        <v>9431</v>
      </c>
      <c r="BM80" s="28">
        <v>5922</v>
      </c>
      <c r="BN80" s="28">
        <v>6214</v>
      </c>
      <c r="BO80" s="28">
        <v>8621.3331297499935</v>
      </c>
      <c r="BP80" s="28">
        <v>8710.5231681199912</v>
      </c>
      <c r="BQ80" s="28">
        <v>5899.3073530200081</v>
      </c>
      <c r="BR80" s="28">
        <v>3549.0656069200027</v>
      </c>
      <c r="BS80" s="28">
        <v>7964</v>
      </c>
      <c r="BT80" s="28">
        <v>4844</v>
      </c>
      <c r="BU80" s="28">
        <v>8379.0840047599995</v>
      </c>
      <c r="BV80" s="28">
        <v>6362.9449379422513</v>
      </c>
      <c r="BW80" s="235">
        <v>7569.423589639995</v>
      </c>
      <c r="BX80" s="235">
        <v>8268</v>
      </c>
      <c r="BY80" s="235">
        <v>9939.5463377500146</v>
      </c>
      <c r="BZ80" s="28">
        <v>6815.1480911500112</v>
      </c>
      <c r="CA80" s="28">
        <v>21885.516500410002</v>
      </c>
      <c r="CB80" s="28">
        <v>19378.591044490007</v>
      </c>
      <c r="CC80" s="28">
        <v>16329.47645246</v>
      </c>
      <c r="CD80" s="28">
        <v>18672.475376089998</v>
      </c>
      <c r="CE80" s="28">
        <v>30544.814995879973</v>
      </c>
      <c r="CF80" s="28">
        <v>22943.795738099976</v>
      </c>
      <c r="CG80" s="28">
        <v>18448.272893679979</v>
      </c>
      <c r="CH80" s="28">
        <v>17876.042457080024</v>
      </c>
      <c r="CI80" s="28">
        <v>16569.148874249899</v>
      </c>
      <c r="CJ80" s="28">
        <v>8403.2616822675645</v>
      </c>
      <c r="CK80" s="28">
        <v>6033.4815681863238</v>
      </c>
      <c r="CL80" s="28">
        <v>-7447.4955185451145</v>
      </c>
      <c r="CM80" s="28">
        <v>17016.179935870809</v>
      </c>
      <c r="CN80" s="28">
        <v>16074.719180310763</v>
      </c>
      <c r="CO80" s="28">
        <v>21164.608564999999</v>
      </c>
      <c r="CP80" s="28">
        <v>18070.502452763623</v>
      </c>
      <c r="CQ80" s="28">
        <v>21991.086564513604</v>
      </c>
      <c r="CR80" s="235">
        <v>17165.991792092187</v>
      </c>
      <c r="CS80" s="235">
        <v>22024.983644633779</v>
      </c>
      <c r="CT80" s="235">
        <v>24647.306420182664</v>
      </c>
      <c r="CU80" s="336">
        <v>22361.165977319564</v>
      </c>
      <c r="CV80" s="354"/>
      <c r="CW80" s="354"/>
      <c r="CX80" s="354"/>
      <c r="CY80" s="353"/>
      <c r="CZ80" s="353"/>
    </row>
    <row r="81" spans="1:264" x14ac:dyDescent="0.2">
      <c r="A81" s="64"/>
      <c r="B81" s="278"/>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5"/>
      <c r="AD81" s="15"/>
      <c r="AE81" s="15"/>
      <c r="AF81" s="15"/>
      <c r="AG81" s="15"/>
      <c r="AH81" s="15"/>
      <c r="AI81" s="15"/>
      <c r="AJ81" s="14"/>
      <c r="AK81" s="4"/>
      <c r="AL81" s="14"/>
      <c r="AM81" s="15"/>
      <c r="AN81" s="14"/>
      <c r="AO81" s="14"/>
      <c r="AP81" s="14"/>
      <c r="AQ81" s="14"/>
      <c r="AR81" s="14"/>
      <c r="AS81" s="4"/>
      <c r="AT81" s="15"/>
      <c r="AU81" s="15"/>
      <c r="AV81" s="14"/>
      <c r="AW81" s="14"/>
      <c r="AX81" s="14"/>
      <c r="AY81" s="14"/>
      <c r="AZ81" s="14"/>
      <c r="BA81" s="14"/>
      <c r="BB81" s="14"/>
      <c r="BC81" s="14"/>
      <c r="BD81" s="14"/>
      <c r="BE81" s="14"/>
      <c r="BF81" s="14"/>
      <c r="BG81" s="14"/>
      <c r="BH81" s="14"/>
      <c r="BI81" s="15"/>
      <c r="BJ81" s="14"/>
      <c r="BK81" s="14"/>
      <c r="BL81" s="14"/>
      <c r="BM81" s="14"/>
      <c r="BN81" s="14"/>
      <c r="BO81" s="14"/>
      <c r="BP81" s="4"/>
      <c r="BQ81" s="14"/>
      <c r="BR81" s="14"/>
      <c r="BS81" s="14"/>
      <c r="BT81" s="14"/>
      <c r="BU81" s="14"/>
      <c r="BV81" s="14"/>
      <c r="BW81" s="15"/>
      <c r="BX81" s="15"/>
      <c r="BY81" s="15"/>
      <c r="BZ81" s="14"/>
      <c r="CA81" s="14"/>
      <c r="CB81" s="14"/>
      <c r="CC81" s="14"/>
      <c r="CD81" s="14"/>
      <c r="CE81" s="14"/>
      <c r="CF81" s="14"/>
      <c r="CG81" s="14"/>
      <c r="CH81" s="14"/>
      <c r="CI81" s="14"/>
      <c r="CJ81" s="14"/>
      <c r="CK81" s="14"/>
      <c r="CL81" s="14"/>
      <c r="CM81" s="14"/>
      <c r="CN81" s="14"/>
      <c r="CO81" s="14"/>
      <c r="CP81" s="14"/>
      <c r="CQ81" s="14"/>
      <c r="CR81" s="15"/>
      <c r="CS81" s="15"/>
      <c r="CT81" s="15"/>
      <c r="CU81" s="17"/>
      <c r="CY81" s="198"/>
    </row>
    <row r="82" spans="1:264" x14ac:dyDescent="0.2">
      <c r="A82" s="135" t="s">
        <v>151</v>
      </c>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5"/>
      <c r="AD82" s="15"/>
      <c r="AE82" s="15"/>
      <c r="AF82" s="15"/>
      <c r="AG82" s="15"/>
      <c r="AH82" s="15"/>
      <c r="AI82" s="15"/>
      <c r="AJ82" s="14"/>
      <c r="AK82" s="4"/>
      <c r="AL82" s="14"/>
      <c r="AM82" s="15"/>
      <c r="AN82" s="14"/>
      <c r="AO82" s="14"/>
      <c r="AP82" s="15"/>
      <c r="AQ82" s="14"/>
      <c r="AR82" s="14"/>
      <c r="AS82" s="14"/>
      <c r="AT82" s="14"/>
      <c r="AU82" s="15"/>
      <c r="AV82" s="15"/>
      <c r="AW82" s="15"/>
      <c r="AX82" s="15"/>
      <c r="AY82" s="14"/>
      <c r="AZ82" s="14"/>
      <c r="BA82" s="14"/>
      <c r="BB82" s="14"/>
      <c r="BC82" s="14"/>
      <c r="BD82" s="14"/>
      <c r="BE82" s="14"/>
      <c r="BF82" s="14"/>
      <c r="BG82" s="14"/>
      <c r="BH82" s="14"/>
      <c r="BI82" s="15"/>
      <c r="BJ82" s="14"/>
      <c r="BK82" s="14"/>
      <c r="BL82" s="14"/>
      <c r="BM82" s="14"/>
      <c r="BN82" s="14"/>
      <c r="BO82" s="14"/>
      <c r="BP82" s="4"/>
      <c r="BQ82" s="14"/>
      <c r="BR82" s="4"/>
      <c r="BS82" s="14"/>
      <c r="BT82" s="14"/>
      <c r="BU82" s="14"/>
      <c r="BV82" s="14"/>
      <c r="BW82" s="15"/>
      <c r="BX82" s="15"/>
      <c r="BY82" s="15"/>
      <c r="BZ82" s="14"/>
      <c r="CA82" s="14"/>
      <c r="CB82" s="14"/>
      <c r="CC82" s="14"/>
      <c r="CD82" s="14"/>
      <c r="CE82" s="14"/>
      <c r="CF82" s="14"/>
      <c r="CG82" s="14"/>
      <c r="CH82" s="14"/>
      <c r="CI82" s="14"/>
      <c r="CJ82" s="14"/>
      <c r="CK82" s="14"/>
      <c r="CL82" s="14"/>
      <c r="CM82" s="14"/>
      <c r="CN82" s="14"/>
      <c r="CO82" s="14"/>
      <c r="CP82" s="14"/>
      <c r="CQ82" s="14"/>
      <c r="CR82" s="15"/>
      <c r="CS82" s="15"/>
      <c r="CT82" s="15"/>
      <c r="CU82" s="17"/>
    </row>
    <row r="83" spans="1:264" x14ac:dyDescent="0.2">
      <c r="A83" s="23" t="s">
        <v>152</v>
      </c>
      <c r="B83" s="231">
        <f>7000-B84-B85</f>
        <v>6630.5</v>
      </c>
      <c r="C83" s="24">
        <f t="shared" ref="C83:BN83" si="62">+C88-C84-C85</f>
        <v>5482.4000000000005</v>
      </c>
      <c r="D83" s="24">
        <f t="shared" si="62"/>
        <v>5412</v>
      </c>
      <c r="E83" s="24">
        <f t="shared" si="62"/>
        <v>7500.9</v>
      </c>
      <c r="F83" s="24">
        <f t="shared" si="62"/>
        <v>7079.4</v>
      </c>
      <c r="G83" s="24">
        <f t="shared" si="62"/>
        <v>7557.3000000000011</v>
      </c>
      <c r="H83" s="24">
        <f t="shared" si="62"/>
        <v>5436.8000000000011</v>
      </c>
      <c r="I83" s="24">
        <f t="shared" si="62"/>
        <v>4147.6000000000004</v>
      </c>
      <c r="J83" s="24">
        <f t="shared" si="62"/>
        <v>5354.7</v>
      </c>
      <c r="K83" s="24">
        <f t="shared" si="62"/>
        <v>5071.4000000000005</v>
      </c>
      <c r="L83" s="24">
        <f t="shared" si="62"/>
        <v>6339.4</v>
      </c>
      <c r="M83" s="24">
        <f t="shared" si="62"/>
        <v>7704.5</v>
      </c>
      <c r="N83" s="24">
        <f t="shared" si="62"/>
        <v>9539.8000000000011</v>
      </c>
      <c r="O83" s="24">
        <f t="shared" si="62"/>
        <v>12147.9</v>
      </c>
      <c r="P83" s="24">
        <f t="shared" si="62"/>
        <v>12744.2</v>
      </c>
      <c r="Q83" s="24">
        <f t="shared" si="62"/>
        <v>12659.5</v>
      </c>
      <c r="R83" s="24">
        <f t="shared" si="62"/>
        <v>14440.1</v>
      </c>
      <c r="S83" s="24">
        <f t="shared" si="62"/>
        <v>16613</v>
      </c>
      <c r="T83" s="24">
        <f t="shared" si="62"/>
        <v>18116</v>
      </c>
      <c r="U83" s="24">
        <f t="shared" si="62"/>
        <v>21078</v>
      </c>
      <c r="V83" s="24">
        <f t="shared" si="62"/>
        <v>24466</v>
      </c>
      <c r="W83" s="24">
        <f t="shared" si="62"/>
        <v>29013</v>
      </c>
      <c r="X83" s="24">
        <f t="shared" si="62"/>
        <v>26731</v>
      </c>
      <c r="Y83" s="24">
        <f t="shared" si="62"/>
        <v>28561.999999999996</v>
      </c>
      <c r="Z83" s="24">
        <f t="shared" si="62"/>
        <v>33691</v>
      </c>
      <c r="AA83" s="24">
        <f t="shared" si="62"/>
        <v>35489</v>
      </c>
      <c r="AB83" s="24">
        <f t="shared" si="62"/>
        <v>36850</v>
      </c>
      <c r="AC83" s="25">
        <f t="shared" si="62"/>
        <v>35822</v>
      </c>
      <c r="AD83" s="25">
        <f t="shared" si="62"/>
        <v>32154</v>
      </c>
      <c r="AE83" s="25">
        <f t="shared" si="62"/>
        <v>31774</v>
      </c>
      <c r="AF83" s="25">
        <f t="shared" si="62"/>
        <v>30411</v>
      </c>
      <c r="AG83" s="25">
        <f t="shared" si="62"/>
        <v>26185</v>
      </c>
      <c r="AH83" s="25">
        <f t="shared" si="62"/>
        <v>21703.261999999999</v>
      </c>
      <c r="AI83" s="25">
        <f t="shared" si="62"/>
        <v>24492</v>
      </c>
      <c r="AJ83" s="24">
        <f t="shared" si="62"/>
        <v>31467</v>
      </c>
      <c r="AK83" s="25">
        <f t="shared" si="62"/>
        <v>37698</v>
      </c>
      <c r="AL83" s="24">
        <f t="shared" si="62"/>
        <v>42294</v>
      </c>
      <c r="AM83" s="25">
        <f t="shared" si="62"/>
        <v>49310</v>
      </c>
      <c r="AN83" s="24">
        <f t="shared" si="62"/>
        <v>47253</v>
      </c>
      <c r="AO83" s="24">
        <f t="shared" si="62"/>
        <v>51034</v>
      </c>
      <c r="AP83" s="24">
        <f t="shared" si="62"/>
        <v>56411</v>
      </c>
      <c r="AQ83" s="24">
        <f t="shared" si="62"/>
        <v>61958</v>
      </c>
      <c r="AR83" s="24">
        <f t="shared" si="62"/>
        <v>57556</v>
      </c>
      <c r="AS83" s="232">
        <f t="shared" si="62"/>
        <v>44530</v>
      </c>
      <c r="AT83" s="25">
        <f t="shared" si="62"/>
        <v>46934</v>
      </c>
      <c r="AU83" s="25">
        <f t="shared" si="62"/>
        <v>54356</v>
      </c>
      <c r="AV83" s="24">
        <f t="shared" si="62"/>
        <v>49989</v>
      </c>
      <c r="AW83" s="24">
        <f t="shared" si="62"/>
        <v>52045</v>
      </c>
      <c r="AX83" s="24">
        <f t="shared" si="62"/>
        <v>54521</v>
      </c>
      <c r="AY83" s="24">
        <f t="shared" si="62"/>
        <v>59809</v>
      </c>
      <c r="AZ83" s="24">
        <f t="shared" si="62"/>
        <v>58472</v>
      </c>
      <c r="BA83" s="24">
        <f t="shared" si="62"/>
        <v>65626</v>
      </c>
      <c r="BB83" s="24">
        <f t="shared" si="62"/>
        <v>70352</v>
      </c>
      <c r="BC83" s="24">
        <f t="shared" si="62"/>
        <v>76440</v>
      </c>
      <c r="BD83" s="24">
        <f t="shared" si="62"/>
        <v>79624</v>
      </c>
      <c r="BE83" s="24">
        <f t="shared" si="62"/>
        <v>80863</v>
      </c>
      <c r="BF83" s="24">
        <f t="shared" si="62"/>
        <v>84387.909451099986</v>
      </c>
      <c r="BG83" s="24">
        <f t="shared" si="62"/>
        <v>97892</v>
      </c>
      <c r="BH83" s="24">
        <f t="shared" si="62"/>
        <v>96519</v>
      </c>
      <c r="BI83" s="25">
        <f t="shared" si="62"/>
        <v>99740.667381601859</v>
      </c>
      <c r="BJ83" s="24">
        <f t="shared" si="62"/>
        <v>119028.81067560156</v>
      </c>
      <c r="BK83" s="24">
        <f t="shared" si="62"/>
        <v>116424.00880225</v>
      </c>
      <c r="BL83" s="24">
        <f t="shared" si="62"/>
        <v>122824</v>
      </c>
      <c r="BM83" s="24">
        <f t="shared" si="62"/>
        <v>140701</v>
      </c>
      <c r="BN83" s="24">
        <f t="shared" si="62"/>
        <v>145272</v>
      </c>
      <c r="BO83" s="24">
        <f t="shared" ref="BO83:BZ83" si="63">+BO88-BO84-BO85</f>
        <v>152304.9353092573</v>
      </c>
      <c r="BP83" s="232">
        <f t="shared" si="63"/>
        <v>156276.32403116589</v>
      </c>
      <c r="BQ83" s="24">
        <f t="shared" si="63"/>
        <v>161724.88705384952</v>
      </c>
      <c r="BR83" s="232">
        <f t="shared" si="63"/>
        <v>159446.85219854221</v>
      </c>
      <c r="BS83" s="24">
        <f t="shared" si="63"/>
        <v>161624</v>
      </c>
      <c r="BT83" s="24">
        <f t="shared" si="63"/>
        <v>171060.01199999999</v>
      </c>
      <c r="BU83" s="24">
        <f t="shared" si="63"/>
        <v>185009.76101166912</v>
      </c>
      <c r="BV83" s="24">
        <f t="shared" si="63"/>
        <v>160964.48217900313</v>
      </c>
      <c r="BW83" s="25">
        <f t="shared" si="63"/>
        <v>184541.44027388864</v>
      </c>
      <c r="BX83" s="25">
        <f t="shared" si="63"/>
        <v>197433.49786916055</v>
      </c>
      <c r="BY83" s="25">
        <f t="shared" si="63"/>
        <v>205493.91465606721</v>
      </c>
      <c r="BZ83" s="24">
        <f t="shared" si="63"/>
        <v>225021.71171163066</v>
      </c>
      <c r="CA83" s="24">
        <f>+CA88-CA84-CA85</f>
        <v>190556.80910298449</v>
      </c>
      <c r="CB83" s="24">
        <f>+CB88-CB84-CB85</f>
        <v>251207.89838917513</v>
      </c>
      <c r="CC83" s="24">
        <f>+CC88-CC84-CC85</f>
        <v>304493.10977555125</v>
      </c>
      <c r="CD83" s="24">
        <v>342070.97393594531</v>
      </c>
      <c r="CE83" s="24">
        <v>395180.25235451048</v>
      </c>
      <c r="CF83" s="24">
        <v>436243.4338499888</v>
      </c>
      <c r="CG83" s="24">
        <v>443369.7027936182</v>
      </c>
      <c r="CH83" s="24">
        <v>495094.86153285491</v>
      </c>
      <c r="CI83" s="24">
        <v>441912.20142125821</v>
      </c>
      <c r="CJ83" s="24">
        <v>372639.03897483507</v>
      </c>
      <c r="CK83" s="24">
        <v>359617.28542682691</v>
      </c>
      <c r="CL83" s="24">
        <v>377712.12798494811</v>
      </c>
      <c r="CM83" s="24">
        <v>417006.40150899801</v>
      </c>
      <c r="CN83" s="24">
        <v>412894.77674158802</v>
      </c>
      <c r="CO83" s="24">
        <v>390547.42003091122</v>
      </c>
      <c r="CP83" s="24">
        <v>432431.09860490437</v>
      </c>
      <c r="CQ83" s="24">
        <v>474285.55806402629</v>
      </c>
      <c r="CR83" s="25">
        <v>490300.12194250571</v>
      </c>
      <c r="CS83" s="25">
        <v>503237.49157969822</v>
      </c>
      <c r="CT83" s="25">
        <v>511418.35238124168</v>
      </c>
      <c r="CU83" s="69">
        <v>500838.40800072963</v>
      </c>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row>
    <row r="84" spans="1:264" x14ac:dyDescent="0.2">
      <c r="A84" s="23" t="s">
        <v>153</v>
      </c>
      <c r="B84" s="231">
        <v>230</v>
      </c>
      <c r="C84" s="24">
        <v>240</v>
      </c>
      <c r="D84" s="24">
        <v>250</v>
      </c>
      <c r="E84" s="24">
        <v>270</v>
      </c>
      <c r="F84" s="24">
        <v>280</v>
      </c>
      <c r="G84" s="24">
        <v>300</v>
      </c>
      <c r="H84" s="24">
        <v>320</v>
      </c>
      <c r="I84" s="24">
        <v>350</v>
      </c>
      <c r="J84" s="24">
        <v>380</v>
      </c>
      <c r="K84" s="24">
        <v>390</v>
      </c>
      <c r="L84" s="24">
        <v>400</v>
      </c>
      <c r="M84" s="24">
        <v>480</v>
      </c>
      <c r="N84" s="24">
        <v>500</v>
      </c>
      <c r="O84" s="24">
        <v>772</v>
      </c>
      <c r="P84" s="24">
        <v>783</v>
      </c>
      <c r="Q84" s="24">
        <v>900</v>
      </c>
      <c r="R84" s="24">
        <v>1096</v>
      </c>
      <c r="S84" s="24">
        <v>1645</v>
      </c>
      <c r="T84" s="24">
        <v>2127</v>
      </c>
      <c r="U84" s="24">
        <v>3179</v>
      </c>
      <c r="V84" s="24">
        <v>3877</v>
      </c>
      <c r="W84" s="24">
        <v>5640</v>
      </c>
      <c r="X84" s="24">
        <v>4825</v>
      </c>
      <c r="Y84" s="24">
        <v>5583</v>
      </c>
      <c r="Z84" s="24">
        <v>6553</v>
      </c>
      <c r="AA84" s="24">
        <v>7383</v>
      </c>
      <c r="AB84" s="24">
        <v>8291</v>
      </c>
      <c r="AC84" s="25">
        <v>8943</v>
      </c>
      <c r="AD84" s="25">
        <v>8956</v>
      </c>
      <c r="AE84" s="25">
        <v>7957</v>
      </c>
      <c r="AF84" s="25">
        <v>8098</v>
      </c>
      <c r="AG84" s="25">
        <v>6983</v>
      </c>
      <c r="AH84" s="25">
        <v>6189.84</v>
      </c>
      <c r="AI84" s="25">
        <v>6710</v>
      </c>
      <c r="AJ84" s="24">
        <v>9252</v>
      </c>
      <c r="AK84" s="232">
        <v>11447</v>
      </c>
      <c r="AL84" s="24">
        <v>13114</v>
      </c>
      <c r="AM84" s="25">
        <v>16127</v>
      </c>
      <c r="AN84" s="24">
        <v>15673</v>
      </c>
      <c r="AO84" s="24">
        <v>16715</v>
      </c>
      <c r="AP84" s="24">
        <v>17738</v>
      </c>
      <c r="AQ84" s="24">
        <v>18545</v>
      </c>
      <c r="AR84" s="24">
        <v>18940</v>
      </c>
      <c r="AS84" s="232">
        <v>14682</v>
      </c>
      <c r="AT84" s="25">
        <v>15163</v>
      </c>
      <c r="AU84" s="25">
        <v>17431</v>
      </c>
      <c r="AV84" s="24">
        <v>16821</v>
      </c>
      <c r="AW84" s="24">
        <v>17888</v>
      </c>
      <c r="AX84" s="24">
        <v>18920</v>
      </c>
      <c r="AY84" s="24">
        <v>21658</v>
      </c>
      <c r="AZ84" s="24">
        <v>22642</v>
      </c>
      <c r="BA84" s="24">
        <v>25597</v>
      </c>
      <c r="BB84" s="24">
        <v>27898</v>
      </c>
      <c r="BC84" s="24">
        <v>31344</v>
      </c>
      <c r="BD84" s="24">
        <v>35942</v>
      </c>
      <c r="BE84" s="24">
        <v>38389</v>
      </c>
      <c r="BF84" s="24">
        <v>40255</v>
      </c>
      <c r="BG84" s="24">
        <v>49984</v>
      </c>
      <c r="BH84" s="24">
        <v>47732</v>
      </c>
      <c r="BI84" s="25">
        <v>45357.032779999994</v>
      </c>
      <c r="BJ84" s="24">
        <v>48876.976203999999</v>
      </c>
      <c r="BK84" s="24">
        <v>46713</v>
      </c>
      <c r="BL84" s="24">
        <v>48124</v>
      </c>
      <c r="BM84" s="24">
        <v>55186</v>
      </c>
      <c r="BN84" s="24">
        <v>58923</v>
      </c>
      <c r="BO84" s="24">
        <v>67662.197018999999</v>
      </c>
      <c r="BP84" s="232">
        <v>73742.143060999995</v>
      </c>
      <c r="BQ84" s="24">
        <v>76753</v>
      </c>
      <c r="BR84" s="232">
        <v>80236.739243999997</v>
      </c>
      <c r="BS84" s="24">
        <v>82393</v>
      </c>
      <c r="BT84" s="24">
        <v>88478</v>
      </c>
      <c r="BU84" s="24">
        <v>95380.714547999989</v>
      </c>
      <c r="BV84" s="24">
        <v>81121.373778999987</v>
      </c>
      <c r="BW84" s="25">
        <v>94196.713929999984</v>
      </c>
      <c r="BX84" s="25">
        <v>101857.28206599999</v>
      </c>
      <c r="BY84" s="25">
        <v>109310.39907099999</v>
      </c>
      <c r="BZ84" s="24">
        <v>119927.02235</v>
      </c>
      <c r="CA84" s="24">
        <v>93276.566026999993</v>
      </c>
      <c r="CB84" s="24">
        <v>114094.29926</v>
      </c>
      <c r="CC84" s="24">
        <v>133675.13215399999</v>
      </c>
      <c r="CD84" s="24">
        <v>150886.791619</v>
      </c>
      <c r="CE84" s="24">
        <v>176956.04602899999</v>
      </c>
      <c r="CF84" s="24">
        <v>194814.61183499999</v>
      </c>
      <c r="CG84" s="24">
        <v>202713.51607400004</v>
      </c>
      <c r="CH84" s="24">
        <v>225088.40865699999</v>
      </c>
      <c r="CI84" s="24">
        <v>202198.066521</v>
      </c>
      <c r="CJ84" s="24">
        <v>180097.1840811799</v>
      </c>
      <c r="CK84" s="24">
        <v>180253.30001220998</v>
      </c>
      <c r="CL84" s="24">
        <v>191688.49490324978</v>
      </c>
      <c r="CM84" s="24">
        <v>208506.03847110871</v>
      </c>
      <c r="CN84" s="24">
        <v>228103.1463416889</v>
      </c>
      <c r="CO84" s="24">
        <v>223441.84414999999</v>
      </c>
      <c r="CP84" s="24">
        <v>243127.98769417984</v>
      </c>
      <c r="CQ84" s="24">
        <v>280794.45992357982</v>
      </c>
      <c r="CR84" s="25">
        <v>299706.04198866</v>
      </c>
      <c r="CS84" s="25">
        <v>315438.16982989002</v>
      </c>
      <c r="CT84" s="25">
        <v>333529.57529375999</v>
      </c>
      <c r="CU84" s="69">
        <v>311687.32175634999</v>
      </c>
    </row>
    <row r="85" spans="1:264" x14ac:dyDescent="0.2">
      <c r="A85" s="23" t="s">
        <v>154</v>
      </c>
      <c r="B85" s="231">
        <v>139.5</v>
      </c>
      <c r="C85" s="24">
        <v>121.4</v>
      </c>
      <c r="D85" s="24">
        <v>181.5</v>
      </c>
      <c r="E85" s="24">
        <v>1191.0999999999999</v>
      </c>
      <c r="F85" s="24">
        <v>1227</v>
      </c>
      <c r="G85" s="24">
        <v>1101.9000000000001</v>
      </c>
      <c r="H85" s="24">
        <v>1038.9000000000001</v>
      </c>
      <c r="I85" s="24">
        <v>903</v>
      </c>
      <c r="J85" s="24">
        <v>1031.2</v>
      </c>
      <c r="K85" s="24">
        <v>1066.7</v>
      </c>
      <c r="L85" s="24">
        <v>1207.5</v>
      </c>
      <c r="M85" s="24">
        <v>1277</v>
      </c>
      <c r="N85" s="24">
        <v>1465.4</v>
      </c>
      <c r="O85" s="24">
        <v>1655.2</v>
      </c>
      <c r="P85" s="24">
        <v>1681.4</v>
      </c>
      <c r="Q85" s="24">
        <v>1828</v>
      </c>
      <c r="R85" s="24">
        <v>1765.9</v>
      </c>
      <c r="S85" s="24">
        <v>1930.1</v>
      </c>
      <c r="T85" s="24">
        <v>2831.6</v>
      </c>
      <c r="U85" s="24">
        <v>3134.1</v>
      </c>
      <c r="V85" s="24">
        <v>3526.5</v>
      </c>
      <c r="W85" s="24">
        <v>4122.6000000000004</v>
      </c>
      <c r="X85" s="24">
        <v>5240.8999999999996</v>
      </c>
      <c r="Y85" s="24">
        <v>5034.2</v>
      </c>
      <c r="Z85" s="24">
        <v>5280.7</v>
      </c>
      <c r="AA85" s="24">
        <v>5953.1</v>
      </c>
      <c r="AB85" s="24">
        <v>6749.8</v>
      </c>
      <c r="AC85" s="25">
        <v>6920</v>
      </c>
      <c r="AD85" s="25">
        <v>7078</v>
      </c>
      <c r="AE85" s="25">
        <v>7170</v>
      </c>
      <c r="AF85" s="25">
        <v>7532</v>
      </c>
      <c r="AG85" s="25">
        <v>7375</v>
      </c>
      <c r="AH85" s="25">
        <v>8009</v>
      </c>
      <c r="AI85" s="25">
        <v>7865</v>
      </c>
      <c r="AJ85" s="24">
        <v>8421</v>
      </c>
      <c r="AK85" s="232">
        <v>8671</v>
      </c>
      <c r="AL85" s="24">
        <v>9015</v>
      </c>
      <c r="AM85" s="25">
        <v>9294</v>
      </c>
      <c r="AN85" s="24">
        <v>9958</v>
      </c>
      <c r="AO85" s="24">
        <v>10750</v>
      </c>
      <c r="AP85" s="24">
        <v>11740</v>
      </c>
      <c r="AQ85" s="24">
        <v>10270</v>
      </c>
      <c r="AR85" s="24">
        <v>11760</v>
      </c>
      <c r="AS85" s="232">
        <v>13946</v>
      </c>
      <c r="AT85" s="25">
        <v>14685</v>
      </c>
      <c r="AU85" s="25">
        <v>13509</v>
      </c>
      <c r="AV85" s="24">
        <v>14633</v>
      </c>
      <c r="AW85" s="24">
        <v>15030</v>
      </c>
      <c r="AX85" s="24">
        <v>15228</v>
      </c>
      <c r="AY85" s="24">
        <v>14986</v>
      </c>
      <c r="AZ85" s="24">
        <v>16401</v>
      </c>
      <c r="BA85" s="24">
        <v>16953</v>
      </c>
      <c r="BB85" s="24">
        <v>17591</v>
      </c>
      <c r="BC85" s="24">
        <v>18133</v>
      </c>
      <c r="BD85" s="24">
        <v>19051</v>
      </c>
      <c r="BE85" s="24">
        <v>19065</v>
      </c>
      <c r="BF85" s="24">
        <v>22632.810791880001</v>
      </c>
      <c r="BG85" s="24">
        <v>26169</v>
      </c>
      <c r="BH85" s="24">
        <v>31539</v>
      </c>
      <c r="BI85" s="25">
        <v>31513.255786669979</v>
      </c>
      <c r="BJ85" s="24">
        <v>30283.407479290006</v>
      </c>
      <c r="BK85" s="24">
        <v>32489.582483159989</v>
      </c>
      <c r="BL85" s="24">
        <v>34911</v>
      </c>
      <c r="BM85" s="24">
        <v>34541</v>
      </c>
      <c r="BN85" s="24">
        <v>34950</v>
      </c>
      <c r="BO85" s="24">
        <v>35084.09974379999</v>
      </c>
      <c r="BP85" s="232">
        <v>40330.373031739982</v>
      </c>
      <c r="BQ85" s="24">
        <v>42500</v>
      </c>
      <c r="BR85" s="232">
        <v>43247.413639629958</v>
      </c>
      <c r="BS85" s="24">
        <v>44704</v>
      </c>
      <c r="BT85" s="24">
        <v>47604.987999999998</v>
      </c>
      <c r="BU85" s="24">
        <v>50592.387464569983</v>
      </c>
      <c r="BV85" s="24">
        <v>57893.447883410074</v>
      </c>
      <c r="BW85" s="25">
        <v>56929.451298390326</v>
      </c>
      <c r="BX85" s="25">
        <v>59995.36222803015</v>
      </c>
      <c r="BY85" s="25">
        <v>62280.125262910049</v>
      </c>
      <c r="BZ85" s="24">
        <v>62769.989410650131</v>
      </c>
      <c r="CA85" s="24">
        <v>84331.390904120068</v>
      </c>
      <c r="CB85" s="24">
        <v>79277.604898330057</v>
      </c>
      <c r="CC85" s="24">
        <v>76024.050487650326</v>
      </c>
      <c r="CD85" s="24">
        <v>77551.377652070019</v>
      </c>
      <c r="CE85" s="24">
        <v>81808.327006970037</v>
      </c>
      <c r="CF85" s="24">
        <v>82567.080796849958</v>
      </c>
      <c r="CG85" s="24">
        <v>88901.719775309932</v>
      </c>
      <c r="CH85" s="24">
        <v>89416.163264590024</v>
      </c>
      <c r="CI85" s="24">
        <v>96788.601522740151</v>
      </c>
      <c r="CJ85" s="24">
        <v>99934.699950209906</v>
      </c>
      <c r="CK85" s="24">
        <v>100071.33829629986</v>
      </c>
      <c r="CL85" s="24">
        <v>94453.733436969895</v>
      </c>
      <c r="CM85" s="24">
        <v>90213.478955199898</v>
      </c>
      <c r="CN85" s="24">
        <v>95889.8653802099</v>
      </c>
      <c r="CO85" s="24">
        <v>101440.9254050599</v>
      </c>
      <c r="CP85" s="24">
        <v>106143.2389440999</v>
      </c>
      <c r="CQ85" s="24">
        <v>103827.6929766899</v>
      </c>
      <c r="CR85" s="25">
        <v>103699.73133854999</v>
      </c>
      <c r="CS85" s="25">
        <v>108844.05901177</v>
      </c>
      <c r="CT85" s="25">
        <v>110013.58648785</v>
      </c>
      <c r="CU85" s="69">
        <v>118439.98068862001</v>
      </c>
    </row>
    <row r="86" spans="1:264" x14ac:dyDescent="0.2">
      <c r="A86" s="23" t="s">
        <v>155</v>
      </c>
      <c r="B86" s="231"/>
      <c r="C86" s="24" t="s">
        <v>49</v>
      </c>
      <c r="D86" s="24" t="s">
        <v>49</v>
      </c>
      <c r="E86" s="24" t="s">
        <v>49</v>
      </c>
      <c r="F86" s="24" t="s">
        <v>49</v>
      </c>
      <c r="G86" s="24" t="s">
        <v>49</v>
      </c>
      <c r="H86" s="24" t="s">
        <v>49</v>
      </c>
      <c r="I86" s="24" t="s">
        <v>49</v>
      </c>
      <c r="J86" s="24" t="s">
        <v>49</v>
      </c>
      <c r="K86" s="24" t="s">
        <v>49</v>
      </c>
      <c r="L86" s="24" t="s">
        <v>49</v>
      </c>
      <c r="M86" s="24" t="s">
        <v>49</v>
      </c>
      <c r="N86" s="24" t="s">
        <v>49</v>
      </c>
      <c r="O86" s="24" t="s">
        <v>49</v>
      </c>
      <c r="P86" s="24" t="s">
        <v>49</v>
      </c>
      <c r="Q86" s="24" t="s">
        <v>49</v>
      </c>
      <c r="R86" s="24" t="s">
        <v>49</v>
      </c>
      <c r="S86" s="24" t="s">
        <v>49</v>
      </c>
      <c r="T86" s="24" t="s">
        <v>49</v>
      </c>
      <c r="U86" s="24" t="s">
        <v>49</v>
      </c>
      <c r="V86" s="24" t="s">
        <v>49</v>
      </c>
      <c r="W86" s="24" t="s">
        <v>49</v>
      </c>
      <c r="X86" s="24" t="s">
        <v>49</v>
      </c>
      <c r="Y86" s="24" t="s">
        <v>49</v>
      </c>
      <c r="Z86" s="24" t="s">
        <v>49</v>
      </c>
      <c r="AA86" s="24" t="s">
        <v>49</v>
      </c>
      <c r="AB86" s="24" t="s">
        <v>49</v>
      </c>
      <c r="AC86" s="24" t="s">
        <v>49</v>
      </c>
      <c r="AD86" s="24" t="s">
        <v>49</v>
      </c>
      <c r="AE86" s="24" t="s">
        <v>49</v>
      </c>
      <c r="AF86" s="24" t="s">
        <v>49</v>
      </c>
      <c r="AG86" s="24" t="s">
        <v>49</v>
      </c>
      <c r="AH86" s="24" t="s">
        <v>49</v>
      </c>
      <c r="AI86" s="24" t="s">
        <v>49</v>
      </c>
      <c r="AJ86" s="24" t="s">
        <v>49</v>
      </c>
      <c r="AK86" s="24" t="s">
        <v>49</v>
      </c>
      <c r="AL86" s="24" t="s">
        <v>49</v>
      </c>
      <c r="AM86" s="24" t="s">
        <v>49</v>
      </c>
      <c r="AN86" s="24" t="s">
        <v>49</v>
      </c>
      <c r="AO86" s="24">
        <v>236</v>
      </c>
      <c r="AP86" s="24">
        <v>805</v>
      </c>
      <c r="AQ86" s="24">
        <v>613</v>
      </c>
      <c r="AR86" s="24">
        <v>1114</v>
      </c>
      <c r="AS86" s="232">
        <v>2203</v>
      </c>
      <c r="AT86" s="25">
        <v>3302</v>
      </c>
      <c r="AU86" s="25">
        <v>3119</v>
      </c>
      <c r="AV86" s="24">
        <v>3184</v>
      </c>
      <c r="AW86" s="24">
        <v>3601</v>
      </c>
      <c r="AX86" s="24">
        <v>4115</v>
      </c>
      <c r="AY86" s="24">
        <v>4466</v>
      </c>
      <c r="AZ86" s="24">
        <v>4876</v>
      </c>
      <c r="BA86" s="24">
        <v>4644.8</v>
      </c>
      <c r="BB86" s="24">
        <v>4693</v>
      </c>
      <c r="BC86" s="24">
        <v>5056</v>
      </c>
      <c r="BD86" s="24">
        <v>5356</v>
      </c>
      <c r="BE86" s="24">
        <v>5667</v>
      </c>
      <c r="BF86" s="24">
        <v>6700</v>
      </c>
      <c r="BG86" s="24">
        <v>7070</v>
      </c>
      <c r="BH86" s="24">
        <v>7391</v>
      </c>
      <c r="BI86" s="25">
        <v>7334.4539916699741</v>
      </c>
      <c r="BJ86" s="24">
        <v>7451.7904792900026</v>
      </c>
      <c r="BK86" s="24">
        <v>7974</v>
      </c>
      <c r="BL86" s="24">
        <v>8446</v>
      </c>
      <c r="BM86" s="24">
        <v>8501</v>
      </c>
      <c r="BN86" s="24">
        <v>8575</v>
      </c>
      <c r="BO86" s="24">
        <v>8458.9787302699933</v>
      </c>
      <c r="BP86" s="232">
        <v>10258.764139789982</v>
      </c>
      <c r="BQ86" s="24">
        <v>11447</v>
      </c>
      <c r="BR86" s="232">
        <v>12096.771246049961</v>
      </c>
      <c r="BS86" s="24">
        <v>12563</v>
      </c>
      <c r="BT86" s="24">
        <v>13580</v>
      </c>
      <c r="BU86" s="24">
        <v>14881.374298569979</v>
      </c>
      <c r="BV86" s="24">
        <v>19001.165883410074</v>
      </c>
      <c r="BW86" s="25">
        <v>20216.503893430327</v>
      </c>
      <c r="BX86" s="25">
        <v>20848.777289670146</v>
      </c>
      <c r="BY86" s="25">
        <v>22008.14054840005</v>
      </c>
      <c r="BZ86" s="24">
        <v>22549.923947650135</v>
      </c>
      <c r="CA86" s="24">
        <v>24005.040408470075</v>
      </c>
      <c r="CB86" s="24">
        <v>25511.304277360057</v>
      </c>
      <c r="CC86" s="24">
        <v>25705.566967050319</v>
      </c>
      <c r="CD86" s="24">
        <v>27734.519769890019</v>
      </c>
      <c r="CE86" s="24">
        <v>28977.297014400043</v>
      </c>
      <c r="CF86" s="24">
        <v>29055.017993189966</v>
      </c>
      <c r="CG86" s="24">
        <v>28243.753341199928</v>
      </c>
      <c r="CH86" s="24">
        <v>29717.310589130018</v>
      </c>
      <c r="CI86" s="24">
        <v>31410.18959851014</v>
      </c>
      <c r="CJ86" s="24">
        <v>33735.1308522299</v>
      </c>
      <c r="CK86" s="24">
        <v>35694.748113339898</v>
      </c>
      <c r="CL86" s="24">
        <v>35978.911894439902</v>
      </c>
      <c r="CM86" s="24">
        <v>34852.6526960599</v>
      </c>
      <c r="CN86" s="24">
        <v>36702.805604799898</v>
      </c>
      <c r="CO86" s="24">
        <v>40093.937940000003</v>
      </c>
      <c r="CP86" s="24">
        <v>42699.429240479898</v>
      </c>
      <c r="CQ86" s="24">
        <v>41909.771084139902</v>
      </c>
      <c r="CR86" s="25">
        <v>42030.789677839995</v>
      </c>
      <c r="CS86" s="25">
        <v>43005.310220779997</v>
      </c>
      <c r="CT86" s="25">
        <v>42651.237361379994</v>
      </c>
      <c r="CU86" s="69">
        <v>40162.313363889996</v>
      </c>
    </row>
    <row r="87" spans="1:264" x14ac:dyDescent="0.2">
      <c r="A87" s="23" t="s">
        <v>156</v>
      </c>
      <c r="B87" s="231"/>
      <c r="C87" s="24" t="s">
        <v>49</v>
      </c>
      <c r="D87" s="24" t="s">
        <v>49</v>
      </c>
      <c r="E87" s="24">
        <v>549</v>
      </c>
      <c r="F87" s="24">
        <v>666</v>
      </c>
      <c r="G87" s="24">
        <v>596</v>
      </c>
      <c r="H87" s="24">
        <v>502</v>
      </c>
      <c r="I87" s="24">
        <v>328</v>
      </c>
      <c r="J87" s="24">
        <v>344</v>
      </c>
      <c r="K87" s="24">
        <v>334</v>
      </c>
      <c r="L87" s="24">
        <v>341</v>
      </c>
      <c r="M87" s="24">
        <v>354</v>
      </c>
      <c r="N87" s="24">
        <v>358</v>
      </c>
      <c r="O87" s="24">
        <v>392</v>
      </c>
      <c r="P87" s="24">
        <v>381</v>
      </c>
      <c r="Q87" s="24">
        <v>396</v>
      </c>
      <c r="R87" s="24">
        <v>408</v>
      </c>
      <c r="S87" s="24">
        <v>389</v>
      </c>
      <c r="T87" s="24">
        <v>604</v>
      </c>
      <c r="U87" s="24">
        <v>623</v>
      </c>
      <c r="V87" s="24">
        <v>1239</v>
      </c>
      <c r="W87" s="24">
        <v>622</v>
      </c>
      <c r="X87" s="24">
        <v>676</v>
      </c>
      <c r="Y87" s="24">
        <v>679</v>
      </c>
      <c r="Z87" s="24">
        <v>735</v>
      </c>
      <c r="AA87" s="24">
        <v>714</v>
      </c>
      <c r="AB87" s="24">
        <v>761</v>
      </c>
      <c r="AC87" s="25">
        <v>756</v>
      </c>
      <c r="AD87" s="25">
        <v>708</v>
      </c>
      <c r="AE87" s="25">
        <v>698</v>
      </c>
      <c r="AF87" s="25">
        <v>687</v>
      </c>
      <c r="AG87" s="25">
        <v>637</v>
      </c>
      <c r="AH87" s="25">
        <v>645</v>
      </c>
      <c r="AI87" s="25">
        <v>609</v>
      </c>
      <c r="AJ87" s="24">
        <v>690</v>
      </c>
      <c r="AK87" s="232">
        <v>681</v>
      </c>
      <c r="AL87" s="24">
        <v>747</v>
      </c>
      <c r="AM87" s="25">
        <v>712</v>
      </c>
      <c r="AN87" s="24">
        <v>743</v>
      </c>
      <c r="AO87" s="24">
        <v>791</v>
      </c>
      <c r="AP87" s="24">
        <v>776</v>
      </c>
      <c r="AQ87" s="24">
        <v>678</v>
      </c>
      <c r="AR87" s="24">
        <v>757</v>
      </c>
      <c r="AS87" s="232">
        <v>775</v>
      </c>
      <c r="AT87" s="25">
        <v>823</v>
      </c>
      <c r="AU87" s="25">
        <v>929</v>
      </c>
      <c r="AV87" s="24">
        <v>800</v>
      </c>
      <c r="AW87" s="24">
        <v>792</v>
      </c>
      <c r="AX87" s="24">
        <v>847</v>
      </c>
      <c r="AY87" s="24">
        <v>790</v>
      </c>
      <c r="AZ87" s="24">
        <v>822</v>
      </c>
      <c r="BA87" s="24">
        <v>783</v>
      </c>
      <c r="BB87" s="24">
        <v>813</v>
      </c>
      <c r="BC87" s="24">
        <v>801</v>
      </c>
      <c r="BD87" s="24">
        <v>844</v>
      </c>
      <c r="BE87" s="24">
        <v>821</v>
      </c>
      <c r="BF87" s="24">
        <v>895</v>
      </c>
      <c r="BG87" s="24">
        <v>987</v>
      </c>
      <c r="BH87" s="24">
        <v>1416</v>
      </c>
      <c r="BI87" s="25">
        <v>1149</v>
      </c>
      <c r="BJ87" s="24">
        <v>1086</v>
      </c>
      <c r="BK87" s="24">
        <v>1133</v>
      </c>
      <c r="BL87" s="24">
        <v>1182</v>
      </c>
      <c r="BM87" s="24">
        <v>1163</v>
      </c>
      <c r="BN87" s="24">
        <v>1143</v>
      </c>
      <c r="BO87" s="24">
        <v>1146</v>
      </c>
      <c r="BP87" s="232">
        <v>1112</v>
      </c>
      <c r="BQ87" s="24">
        <v>1147</v>
      </c>
      <c r="BR87" s="232">
        <v>1199</v>
      </c>
      <c r="BS87" s="24">
        <v>1128</v>
      </c>
      <c r="BT87" s="24">
        <v>1206</v>
      </c>
      <c r="BU87" s="24">
        <v>1328</v>
      </c>
      <c r="BV87" s="24">
        <v>1575.2389713</v>
      </c>
      <c r="BW87" s="25">
        <v>1568.6252608100001</v>
      </c>
      <c r="BX87" s="25">
        <v>1542.0520340600001</v>
      </c>
      <c r="BY87" s="25">
        <v>1369.04894878</v>
      </c>
      <c r="BZ87" s="24">
        <v>1420.53458574</v>
      </c>
      <c r="CA87" s="24">
        <v>1879.7898118400001</v>
      </c>
      <c r="CB87" s="24">
        <v>2096.8228340000001</v>
      </c>
      <c r="CC87" s="24">
        <v>1521.4818174500001</v>
      </c>
      <c r="CD87" s="24">
        <v>1630.0249868400001</v>
      </c>
      <c r="CE87" s="24">
        <v>1578.6224395900001</v>
      </c>
      <c r="CF87" s="24">
        <v>1468.4700711200001</v>
      </c>
      <c r="CG87" s="24">
        <v>1480.4352915899999</v>
      </c>
      <c r="CH87" s="24">
        <v>1539.71378979</v>
      </c>
      <c r="CI87" s="24">
        <v>1595.6422530899999</v>
      </c>
      <c r="CJ87" s="24">
        <v>1658.7061536000001</v>
      </c>
      <c r="CK87" s="24">
        <v>1610.2884081299601</v>
      </c>
      <c r="CL87" s="24">
        <v>1667.1258594599999</v>
      </c>
      <c r="CM87" s="24">
        <v>1374.3872698800001</v>
      </c>
      <c r="CN87" s="24">
        <v>804.68898657</v>
      </c>
      <c r="CO87" s="24">
        <v>868.80876491000004</v>
      </c>
      <c r="CP87" s="24">
        <v>715.79326437999998</v>
      </c>
      <c r="CQ87" s="24">
        <v>19.074042160000001</v>
      </c>
      <c r="CR87" s="25">
        <v>0</v>
      </c>
      <c r="CS87" s="25">
        <v>0</v>
      </c>
      <c r="CT87" s="25">
        <v>0</v>
      </c>
      <c r="CU87" s="69">
        <v>0</v>
      </c>
    </row>
    <row r="88" spans="1:264" s="188" customFormat="1" x14ac:dyDescent="0.2">
      <c r="A88" s="27" t="s">
        <v>194</v>
      </c>
      <c r="B88" s="234">
        <f>SUM(B83:B85)</f>
        <v>7000</v>
      </c>
      <c r="C88" s="235">
        <v>5843.8</v>
      </c>
      <c r="D88" s="235">
        <v>5843.5</v>
      </c>
      <c r="E88" s="235">
        <v>8962</v>
      </c>
      <c r="F88" s="235">
        <v>8586.4</v>
      </c>
      <c r="G88" s="235">
        <v>8959.2000000000007</v>
      </c>
      <c r="H88" s="235">
        <v>6795.7000000000007</v>
      </c>
      <c r="I88" s="235">
        <v>5400.6</v>
      </c>
      <c r="J88" s="235">
        <v>6765.9</v>
      </c>
      <c r="K88" s="235">
        <v>6528.1</v>
      </c>
      <c r="L88" s="235">
        <v>7946.9</v>
      </c>
      <c r="M88" s="235">
        <v>9461.5</v>
      </c>
      <c r="N88" s="235">
        <v>11505.2</v>
      </c>
      <c r="O88" s="235">
        <v>14575.1</v>
      </c>
      <c r="P88" s="235">
        <v>15208.6</v>
      </c>
      <c r="Q88" s="235">
        <v>15387.5</v>
      </c>
      <c r="R88" s="235">
        <v>17302</v>
      </c>
      <c r="S88" s="235">
        <v>20188.099999999999</v>
      </c>
      <c r="T88" s="235">
        <v>23074.6</v>
      </c>
      <c r="U88" s="235">
        <v>27391.1</v>
      </c>
      <c r="V88" s="235">
        <v>31869.5</v>
      </c>
      <c r="W88" s="235">
        <v>38775.599999999999</v>
      </c>
      <c r="X88" s="235">
        <v>36796.9</v>
      </c>
      <c r="Y88" s="235">
        <v>39179.199999999997</v>
      </c>
      <c r="Z88" s="235">
        <v>45524.7</v>
      </c>
      <c r="AA88" s="235">
        <v>48825.1</v>
      </c>
      <c r="AB88" s="235">
        <v>51890.8</v>
      </c>
      <c r="AC88" s="235">
        <v>51685</v>
      </c>
      <c r="AD88" s="235">
        <v>48188</v>
      </c>
      <c r="AE88" s="235">
        <v>46901</v>
      </c>
      <c r="AF88" s="235">
        <v>46041</v>
      </c>
      <c r="AG88" s="235">
        <v>40543</v>
      </c>
      <c r="AH88" s="235">
        <v>35902.101999999999</v>
      </c>
      <c r="AI88" s="235">
        <v>39067</v>
      </c>
      <c r="AJ88" s="28">
        <v>49140</v>
      </c>
      <c r="AK88" s="234">
        <v>57816</v>
      </c>
      <c r="AL88" s="28">
        <v>64423</v>
      </c>
      <c r="AM88" s="235">
        <v>74731</v>
      </c>
      <c r="AN88" s="28">
        <v>72884</v>
      </c>
      <c r="AO88" s="28">
        <v>78499</v>
      </c>
      <c r="AP88" s="28">
        <v>85889</v>
      </c>
      <c r="AQ88" s="28">
        <v>90773</v>
      </c>
      <c r="AR88" s="28">
        <v>88256</v>
      </c>
      <c r="AS88" s="234">
        <v>73158</v>
      </c>
      <c r="AT88" s="235">
        <v>76782</v>
      </c>
      <c r="AU88" s="235">
        <v>85296</v>
      </c>
      <c r="AV88" s="28">
        <v>81443</v>
      </c>
      <c r="AW88" s="28">
        <v>84963</v>
      </c>
      <c r="AX88" s="28">
        <v>88669</v>
      </c>
      <c r="AY88" s="28">
        <v>96453</v>
      </c>
      <c r="AZ88" s="28">
        <v>97515</v>
      </c>
      <c r="BA88" s="28">
        <v>108176</v>
      </c>
      <c r="BB88" s="28">
        <v>115841</v>
      </c>
      <c r="BC88" s="28">
        <v>125917</v>
      </c>
      <c r="BD88" s="28">
        <v>134617</v>
      </c>
      <c r="BE88" s="28">
        <v>138317</v>
      </c>
      <c r="BF88" s="28">
        <v>147275.72024297999</v>
      </c>
      <c r="BG88" s="28">
        <v>174045</v>
      </c>
      <c r="BH88" s="28">
        <v>175790</v>
      </c>
      <c r="BI88" s="235">
        <v>176610.95594827185</v>
      </c>
      <c r="BJ88" s="28">
        <v>198189.19435889157</v>
      </c>
      <c r="BK88" s="28">
        <v>195626.59128540999</v>
      </c>
      <c r="BL88" s="28">
        <v>205859</v>
      </c>
      <c r="BM88" s="28">
        <v>230428</v>
      </c>
      <c r="BN88" s="28">
        <v>239145</v>
      </c>
      <c r="BO88" s="28">
        <v>255051.23207205729</v>
      </c>
      <c r="BP88" s="234">
        <v>270348.84012390586</v>
      </c>
      <c r="BQ88" s="28">
        <v>280977.88705384952</v>
      </c>
      <c r="BR88" s="234">
        <v>282931.00508217217</v>
      </c>
      <c r="BS88" s="28">
        <v>288721</v>
      </c>
      <c r="BT88" s="28">
        <v>307143</v>
      </c>
      <c r="BU88" s="28">
        <v>330982.86302423908</v>
      </c>
      <c r="BV88" s="28">
        <v>299979.30384141317</v>
      </c>
      <c r="BW88" s="235">
        <v>335667.60550227895</v>
      </c>
      <c r="BX88" s="235">
        <v>359286.1421631907</v>
      </c>
      <c r="BY88" s="235">
        <v>377084.43898997724</v>
      </c>
      <c r="BZ88" s="28">
        <v>407718.72347228078</v>
      </c>
      <c r="CA88" s="28">
        <v>368164.76603410451</v>
      </c>
      <c r="CB88" s="28">
        <v>444579.80254750518</v>
      </c>
      <c r="CC88" s="28">
        <v>514192.29241720156</v>
      </c>
      <c r="CD88" s="28">
        <v>570509.14320701535</v>
      </c>
      <c r="CE88" s="28">
        <v>653944.62539048051</v>
      </c>
      <c r="CF88" s="28">
        <v>713572.8526337056</v>
      </c>
      <c r="CG88" s="28">
        <v>734984.93864292814</v>
      </c>
      <c r="CH88" s="28">
        <v>809599.43345444486</v>
      </c>
      <c r="CI88" s="28">
        <v>740898.86946499837</v>
      </c>
      <c r="CJ88" s="28">
        <v>652670.92300622491</v>
      </c>
      <c r="CK88" s="28">
        <v>639941.92373533675</v>
      </c>
      <c r="CL88" s="28">
        <v>663854.35632516781</v>
      </c>
      <c r="CM88" s="28">
        <v>715725.9189353066</v>
      </c>
      <c r="CN88" s="28">
        <v>736887.78846348682</v>
      </c>
      <c r="CO88" s="28">
        <v>715430.18960000004</v>
      </c>
      <c r="CP88" s="28">
        <v>781702.32524318411</v>
      </c>
      <c r="CQ88" s="28">
        <v>858907.71096429601</v>
      </c>
      <c r="CR88" s="235">
        <v>893705.89526971569</v>
      </c>
      <c r="CS88" s="235">
        <v>927519.72042135824</v>
      </c>
      <c r="CT88" s="235">
        <v>954961.51416285173</v>
      </c>
      <c r="CU88" s="336">
        <v>930965.71044569963</v>
      </c>
    </row>
    <row r="89" spans="1:264" x14ac:dyDescent="0.2">
      <c r="A89" s="23" t="s">
        <v>157</v>
      </c>
      <c r="B89" s="232"/>
      <c r="C89" s="24">
        <v>0</v>
      </c>
      <c r="D89" s="24">
        <v>0</v>
      </c>
      <c r="E89" s="24">
        <v>0</v>
      </c>
      <c r="F89" s="24">
        <v>0</v>
      </c>
      <c r="G89" s="24">
        <v>0</v>
      </c>
      <c r="H89" s="24">
        <v>8</v>
      </c>
      <c r="I89" s="24">
        <v>10</v>
      </c>
      <c r="J89" s="24">
        <v>21</v>
      </c>
      <c r="K89" s="24">
        <v>18</v>
      </c>
      <c r="L89" s="24">
        <v>24</v>
      </c>
      <c r="M89" s="24">
        <v>36</v>
      </c>
      <c r="N89" s="24">
        <v>103</v>
      </c>
      <c r="O89" s="24">
        <v>173</v>
      </c>
      <c r="P89" s="24">
        <v>218</v>
      </c>
      <c r="Q89" s="24">
        <v>249</v>
      </c>
      <c r="R89" s="24">
        <v>330</v>
      </c>
      <c r="S89" s="24">
        <v>571</v>
      </c>
      <c r="T89" s="24">
        <v>773</v>
      </c>
      <c r="U89" s="24">
        <v>1199</v>
      </c>
      <c r="V89" s="24">
        <v>2470</v>
      </c>
      <c r="W89" s="24">
        <v>3280</v>
      </c>
      <c r="X89" s="24">
        <v>3430</v>
      </c>
      <c r="Y89" s="24">
        <v>3770</v>
      </c>
      <c r="Z89" s="24">
        <v>4800</v>
      </c>
      <c r="AA89" s="24">
        <v>4926.3209999999999</v>
      </c>
      <c r="AB89" s="24">
        <v>6580.4815224399972</v>
      </c>
      <c r="AC89" s="25">
        <v>8280.846888</v>
      </c>
      <c r="AD89" s="25">
        <v>8404.6919999999991</v>
      </c>
      <c r="AE89" s="25">
        <v>10404.674000000001</v>
      </c>
      <c r="AF89" s="25">
        <v>11157.696</v>
      </c>
      <c r="AG89" s="25">
        <v>10394.128999999999</v>
      </c>
      <c r="AH89" s="25">
        <v>8414.2470000000012</v>
      </c>
      <c r="AI89" s="25">
        <v>10940.837</v>
      </c>
      <c r="AJ89" s="24">
        <v>15407.123999999998</v>
      </c>
      <c r="AK89" s="232">
        <v>19185.3</v>
      </c>
      <c r="AL89" s="24">
        <v>20093.672000000002</v>
      </c>
      <c r="AM89" s="25">
        <v>28201.873</v>
      </c>
      <c r="AN89" s="24">
        <v>28536.245999999992</v>
      </c>
      <c r="AO89" s="24">
        <v>31229.4</v>
      </c>
      <c r="AP89" s="24">
        <v>30919.100000000002</v>
      </c>
      <c r="AQ89" s="24">
        <v>37272.899999999994</v>
      </c>
      <c r="AR89" s="24">
        <v>36494.646000000001</v>
      </c>
      <c r="AS89" s="232">
        <v>29748.430999999997</v>
      </c>
      <c r="AT89" s="25">
        <v>29750.070000000003</v>
      </c>
      <c r="AU89" s="25">
        <v>34230.600000000013</v>
      </c>
      <c r="AV89" s="24">
        <v>33054.710000000006</v>
      </c>
      <c r="AW89" s="24">
        <v>34682.870000000003</v>
      </c>
      <c r="AX89" s="24">
        <v>34452.1</v>
      </c>
      <c r="AY89" s="24">
        <v>37606.924034219941</v>
      </c>
      <c r="AZ89" s="24">
        <v>37860.333052969909</v>
      </c>
      <c r="BA89" s="24">
        <v>42274.582444679902</v>
      </c>
      <c r="BB89" s="24">
        <v>44520.521440119905</v>
      </c>
      <c r="BC89" s="24">
        <v>47847.205316649641</v>
      </c>
      <c r="BD89" s="24">
        <v>51278.138187769626</v>
      </c>
      <c r="BE89" s="24">
        <v>52196.25656497926</v>
      </c>
      <c r="BF89" s="24">
        <v>54325.300347560158</v>
      </c>
      <c r="BG89" s="24">
        <v>63647.364298070432</v>
      </c>
      <c r="BH89" s="24">
        <v>64114.003630630294</v>
      </c>
      <c r="BI89" s="25">
        <v>63852.802945700714</v>
      </c>
      <c r="BJ89" s="24">
        <v>70609.049051020484</v>
      </c>
      <c r="BK89" s="24">
        <v>69290.824142300276</v>
      </c>
      <c r="BL89" s="24">
        <v>70628.908019281429</v>
      </c>
      <c r="BM89" s="24">
        <v>78837.409949560548</v>
      </c>
      <c r="BN89" s="24">
        <v>80251.15395863133</v>
      </c>
      <c r="BO89" s="24">
        <v>84974.009759011009</v>
      </c>
      <c r="BP89" s="232">
        <v>88684.609251142334</v>
      </c>
      <c r="BQ89" s="24">
        <v>91125.681221131657</v>
      </c>
      <c r="BR89" s="232">
        <v>90758.166599041899</v>
      </c>
      <c r="BS89" s="24">
        <v>91976</v>
      </c>
      <c r="BT89" s="24">
        <v>97102</v>
      </c>
      <c r="BU89" s="24">
        <v>103439.98302124019</v>
      </c>
      <c r="BV89" s="24">
        <v>90954.281879511385</v>
      </c>
      <c r="BW89" s="25">
        <v>102536.93155525356</v>
      </c>
      <c r="BX89" s="25">
        <v>109684.06065480295</v>
      </c>
      <c r="BY89" s="25">
        <v>114313.34140686077</v>
      </c>
      <c r="BZ89" s="24">
        <v>122142.64216760268</v>
      </c>
      <c r="CA89" s="24">
        <v>108056.81656056448</v>
      </c>
      <c r="CB89" s="24">
        <v>129207.02479929297</v>
      </c>
      <c r="CC89" s="24">
        <v>148464.28407247079</v>
      </c>
      <c r="CD89" s="24">
        <v>162637.90197180252</v>
      </c>
      <c r="CE89" s="24">
        <v>186278.9634700343</v>
      </c>
      <c r="CF89" s="24">
        <v>204704.78285118309</v>
      </c>
      <c r="CG89" s="24">
        <v>209183.11543048196</v>
      </c>
      <c r="CH89" s="24">
        <v>227878.18229526238</v>
      </c>
      <c r="CI89" s="24">
        <v>210483.43305242303</v>
      </c>
      <c r="CJ89" s="24">
        <v>185352.86902527994</v>
      </c>
      <c r="CK89" s="24">
        <v>182141.24385704895</v>
      </c>
      <c r="CL89" s="24">
        <v>187748.26369768896</v>
      </c>
      <c r="CM89" s="24">
        <v>203997.44944996989</v>
      </c>
      <c r="CN89" s="24">
        <v>212551.02320850996</v>
      </c>
      <c r="CO89" s="24">
        <v>205385.80653999999</v>
      </c>
      <c r="CP89" s="24">
        <v>222062.9286907003</v>
      </c>
      <c r="CQ89" s="24">
        <v>247278.909109909</v>
      </c>
      <c r="CR89" s="25">
        <v>258336.98448725999</v>
      </c>
      <c r="CS89" s="25">
        <v>268601.05286801996</v>
      </c>
      <c r="CT89" s="25">
        <v>276033.32067239995</v>
      </c>
      <c r="CU89" s="69">
        <v>268032.24312572269</v>
      </c>
      <c r="CV89" s="262"/>
    </row>
    <row r="90" spans="1:264" x14ac:dyDescent="0.2">
      <c r="A90" s="58" t="s">
        <v>158</v>
      </c>
      <c r="B90" s="4"/>
      <c r="C90" s="21" t="s">
        <v>49</v>
      </c>
      <c r="D90" s="19" t="s">
        <v>49</v>
      </c>
      <c r="E90" s="19" t="s">
        <v>49</v>
      </c>
      <c r="F90" s="21" t="s">
        <v>49</v>
      </c>
      <c r="G90" s="19" t="s">
        <v>49</v>
      </c>
      <c r="H90" s="19" t="s">
        <v>49</v>
      </c>
      <c r="I90" s="19" t="s">
        <v>49</v>
      </c>
      <c r="J90" s="19" t="s">
        <v>49</v>
      </c>
      <c r="K90" s="19" t="s">
        <v>49</v>
      </c>
      <c r="L90" s="19" t="s">
        <v>49</v>
      </c>
      <c r="M90" s="19" t="s">
        <v>49</v>
      </c>
      <c r="N90" s="19" t="s">
        <v>49</v>
      </c>
      <c r="O90" s="19" t="s">
        <v>49</v>
      </c>
      <c r="P90" s="19" t="s">
        <v>49</v>
      </c>
      <c r="Q90" s="19" t="s">
        <v>49</v>
      </c>
      <c r="R90" s="19" t="s">
        <v>49</v>
      </c>
      <c r="S90" s="19" t="s">
        <v>49</v>
      </c>
      <c r="T90" s="19" t="s">
        <v>49</v>
      </c>
      <c r="U90" s="19" t="s">
        <v>49</v>
      </c>
      <c r="V90" s="19" t="s">
        <v>49</v>
      </c>
      <c r="W90" s="19" t="s">
        <v>49</v>
      </c>
      <c r="X90" s="19" t="s">
        <v>49</v>
      </c>
      <c r="Y90" s="19" t="s">
        <v>49</v>
      </c>
      <c r="Z90" s="19" t="s">
        <v>49</v>
      </c>
      <c r="AA90" s="19" t="s">
        <v>49</v>
      </c>
      <c r="AB90" s="19" t="s">
        <v>49</v>
      </c>
      <c r="AC90" s="21" t="s">
        <v>49</v>
      </c>
      <c r="AD90" s="20" t="s">
        <v>49</v>
      </c>
      <c r="AE90" s="20" t="s">
        <v>49</v>
      </c>
      <c r="AF90" s="20" t="s">
        <v>49</v>
      </c>
      <c r="AG90" s="20" t="s">
        <v>49</v>
      </c>
      <c r="AH90" s="20" t="s">
        <v>49</v>
      </c>
      <c r="AI90" s="20" t="s">
        <v>49</v>
      </c>
      <c r="AJ90" s="19" t="s">
        <v>49</v>
      </c>
      <c r="AK90" s="21" t="s">
        <v>49</v>
      </c>
      <c r="AL90" s="19" t="s">
        <v>49</v>
      </c>
      <c r="AM90" s="20" t="s">
        <v>49</v>
      </c>
      <c r="AN90" s="19" t="s">
        <v>49</v>
      </c>
      <c r="AO90" s="19" t="s">
        <v>49</v>
      </c>
      <c r="AP90" s="19" t="s">
        <v>49</v>
      </c>
      <c r="AQ90" s="19" t="s">
        <v>49</v>
      </c>
      <c r="AR90" s="19" t="s">
        <v>49</v>
      </c>
      <c r="AS90" s="21" t="s">
        <v>49</v>
      </c>
      <c r="AT90" s="20" t="s">
        <v>49</v>
      </c>
      <c r="AU90" s="20" t="s">
        <v>49</v>
      </c>
      <c r="AV90" s="19" t="s">
        <v>49</v>
      </c>
      <c r="AW90" s="19" t="s">
        <v>49</v>
      </c>
      <c r="AX90" s="19" t="s">
        <v>49</v>
      </c>
      <c r="AY90" s="19" t="s">
        <v>49</v>
      </c>
      <c r="AZ90" s="19" t="s">
        <v>49</v>
      </c>
      <c r="BA90" s="19" t="s">
        <v>49</v>
      </c>
      <c r="BB90" s="19" t="s">
        <v>49</v>
      </c>
      <c r="BC90" s="19">
        <v>36944.828125189546</v>
      </c>
      <c r="BD90" s="19">
        <v>39280.51386478958</v>
      </c>
      <c r="BE90" s="19">
        <v>39826.686609928918</v>
      </c>
      <c r="BF90" s="19">
        <v>39673.456166150361</v>
      </c>
      <c r="BG90" s="19">
        <v>47378.601192450529</v>
      </c>
      <c r="BH90" s="19">
        <v>48018.319627729958</v>
      </c>
      <c r="BI90" s="19">
        <v>48234.444810560359</v>
      </c>
      <c r="BJ90" s="19">
        <v>52405.978852079774</v>
      </c>
      <c r="BK90" s="59">
        <v>51611.507825489694</v>
      </c>
      <c r="BL90" s="59">
        <v>52460.923702020162</v>
      </c>
      <c r="BM90" s="59">
        <v>58670.65636810947</v>
      </c>
      <c r="BN90" s="59">
        <v>57897.20201168974</v>
      </c>
      <c r="BO90" s="59">
        <v>61606.942016488974</v>
      </c>
      <c r="BP90" s="276">
        <v>64355.703086918802</v>
      </c>
      <c r="BQ90" s="59">
        <v>66065.058956369248</v>
      </c>
      <c r="BR90" s="276">
        <v>63641.175791559654</v>
      </c>
      <c r="BS90" s="59">
        <v>64270.619881639708</v>
      </c>
      <c r="BT90" s="59">
        <v>67361.11730274916</v>
      </c>
      <c r="BU90" s="59">
        <v>71851.336096988191</v>
      </c>
      <c r="BV90" s="59">
        <v>61777.923713138603</v>
      </c>
      <c r="BW90" s="60">
        <v>69613.716306918752</v>
      </c>
      <c r="BX90" s="60">
        <v>74486.950347450256</v>
      </c>
      <c r="BY90" s="60">
        <v>77193.205675468867</v>
      </c>
      <c r="BZ90" s="59">
        <v>82037.313409409617</v>
      </c>
      <c r="CA90" s="59">
        <v>72409.930963479623</v>
      </c>
      <c r="CB90" s="59">
        <v>88314.407320739658</v>
      </c>
      <c r="CC90" s="59">
        <v>102922.85997922787</v>
      </c>
      <c r="CD90" s="59">
        <v>113446.87683899017</v>
      </c>
      <c r="CE90" s="59">
        <v>131330.92933414975</v>
      </c>
      <c r="CF90" s="59">
        <v>145686.3886240705</v>
      </c>
      <c r="CG90" s="59">
        <v>148206.84683769039</v>
      </c>
      <c r="CH90" s="59">
        <v>160635.59919615026</v>
      </c>
      <c r="CI90" s="59">
        <v>147075.73862803998</v>
      </c>
      <c r="CJ90" s="59">
        <v>127472.63235498</v>
      </c>
      <c r="CK90" s="59">
        <v>123829.59424890899</v>
      </c>
      <c r="CL90" s="59">
        <v>127806.978313709</v>
      </c>
      <c r="CM90" s="59">
        <v>139045.19874972999</v>
      </c>
      <c r="CN90" s="59">
        <v>142521.72055673</v>
      </c>
      <c r="CO90" s="59">
        <v>136782.24442</v>
      </c>
      <c r="CP90" s="59">
        <v>147417.10360203197</v>
      </c>
      <c r="CQ90" s="59">
        <v>164285.41166438902</v>
      </c>
      <c r="CR90" s="60">
        <v>171090.52319451998</v>
      </c>
      <c r="CS90" s="60">
        <v>177444.20556782</v>
      </c>
      <c r="CT90" s="60">
        <v>180800.96408420999</v>
      </c>
      <c r="CU90" s="345">
        <v>177196.64206124266</v>
      </c>
      <c r="CV90" s="262"/>
    </row>
    <row r="91" spans="1:264" x14ac:dyDescent="0.2">
      <c r="A91" s="23" t="s">
        <v>159</v>
      </c>
      <c r="B91" s="250"/>
      <c r="C91" s="24" t="s">
        <v>49</v>
      </c>
      <c r="D91" s="24" t="s">
        <v>49</v>
      </c>
      <c r="E91" s="24" t="s">
        <v>49</v>
      </c>
      <c r="F91" s="24" t="s">
        <v>49</v>
      </c>
      <c r="G91" s="24" t="s">
        <v>49</v>
      </c>
      <c r="H91" s="24" t="s">
        <v>49</v>
      </c>
      <c r="I91" s="24" t="s">
        <v>49</v>
      </c>
      <c r="J91" s="24" t="s">
        <v>49</v>
      </c>
      <c r="K91" s="24" t="s">
        <v>49</v>
      </c>
      <c r="L91" s="24" t="s">
        <v>49</v>
      </c>
      <c r="M91" s="24" t="s">
        <v>49</v>
      </c>
      <c r="N91" s="24" t="s">
        <v>49</v>
      </c>
      <c r="O91" s="24" t="s">
        <v>49</v>
      </c>
      <c r="P91" s="24" t="s">
        <v>49</v>
      </c>
      <c r="Q91" s="24" t="s">
        <v>49</v>
      </c>
      <c r="R91" s="24" t="s">
        <v>49</v>
      </c>
      <c r="S91" s="24" t="s">
        <v>49</v>
      </c>
      <c r="T91" s="24" t="s">
        <v>49</v>
      </c>
      <c r="U91" s="24" t="s">
        <v>49</v>
      </c>
      <c r="V91" s="24" t="s">
        <v>49</v>
      </c>
      <c r="W91" s="24" t="s">
        <v>49</v>
      </c>
      <c r="X91" s="24" t="s">
        <v>49</v>
      </c>
      <c r="Y91" s="24" t="s">
        <v>49</v>
      </c>
      <c r="Z91" s="24" t="s">
        <v>49</v>
      </c>
      <c r="AA91" s="24">
        <v>72.665999999999997</v>
      </c>
      <c r="AB91" s="24">
        <v>96.496818320000159</v>
      </c>
      <c r="AC91" s="24">
        <v>111.47804499999999</v>
      </c>
      <c r="AD91" s="24">
        <v>138.80000000000001</v>
      </c>
      <c r="AE91" s="24">
        <v>150.5</v>
      </c>
      <c r="AF91" s="24">
        <v>174.357</v>
      </c>
      <c r="AG91" s="24">
        <v>196.542</v>
      </c>
      <c r="AH91" s="24">
        <v>280.505</v>
      </c>
      <c r="AI91" s="24">
        <v>339.29199999999997</v>
      </c>
      <c r="AJ91" s="24">
        <v>438.03699999999998</v>
      </c>
      <c r="AK91" s="24">
        <v>523.29999999999995</v>
      </c>
      <c r="AL91" s="24">
        <v>633</v>
      </c>
      <c r="AM91" s="24">
        <v>753.81299999999999</v>
      </c>
      <c r="AN91" s="24">
        <v>827.995</v>
      </c>
      <c r="AO91" s="24">
        <v>953.3</v>
      </c>
      <c r="AP91" s="24">
        <v>1114.5999999999999</v>
      </c>
      <c r="AQ91" s="24">
        <v>1215.5</v>
      </c>
      <c r="AR91" s="24">
        <v>1312.931</v>
      </c>
      <c r="AS91" s="24">
        <v>1287.3</v>
      </c>
      <c r="AT91" s="24">
        <v>1466</v>
      </c>
      <c r="AU91" s="24">
        <v>1729.2</v>
      </c>
      <c r="AV91" s="24">
        <v>1868.2</v>
      </c>
      <c r="AW91" s="24">
        <v>2123.9699999999998</v>
      </c>
      <c r="AX91" s="24">
        <v>2397.6</v>
      </c>
      <c r="AY91" s="24">
        <v>2739.6854282599852</v>
      </c>
      <c r="AZ91" s="24">
        <v>3006.7777126399751</v>
      </c>
      <c r="BA91" s="24">
        <v>3434.1442113199582</v>
      </c>
      <c r="BB91" s="24">
        <v>3891.0845771999493</v>
      </c>
      <c r="BC91" s="24">
        <v>4311.0854654801633</v>
      </c>
      <c r="BD91" s="24">
        <v>4904.9153520201307</v>
      </c>
      <c r="BE91" s="24">
        <v>5302.3864101704548</v>
      </c>
      <c r="BF91" s="24">
        <v>5930.8440884998363</v>
      </c>
      <c r="BG91" s="24">
        <v>6997.8010957399783</v>
      </c>
      <c r="BH91" s="24">
        <v>7319.3303543604252</v>
      </c>
      <c r="BI91" s="24">
        <v>7439.6104902804254</v>
      </c>
      <c r="BJ91" s="24">
        <v>8519.5853409607989</v>
      </c>
      <c r="BK91" s="24">
        <v>8837.6605911306178</v>
      </c>
      <c r="BL91" s="24">
        <v>9608.9667541313247</v>
      </c>
      <c r="BM91" s="24">
        <v>10955.424482491146</v>
      </c>
      <c r="BN91" s="24">
        <v>12068.468147511594</v>
      </c>
      <c r="BO91" s="24">
        <v>13301.296280352301</v>
      </c>
      <c r="BP91" s="24">
        <v>14256.603925623283</v>
      </c>
      <c r="BQ91" s="24">
        <v>15066.664870043347</v>
      </c>
      <c r="BR91" s="24">
        <v>16113.825238342812</v>
      </c>
      <c r="BS91" s="24">
        <v>16794.008954713296</v>
      </c>
      <c r="BT91" s="24">
        <v>18360.434954561486</v>
      </c>
      <c r="BU91" s="24">
        <v>19755.286175622045</v>
      </c>
      <c r="BV91" s="24">
        <v>18596.100691792868</v>
      </c>
      <c r="BW91" s="25">
        <v>21290.507663364871</v>
      </c>
      <c r="BX91" s="25">
        <v>22993.108408202639</v>
      </c>
      <c r="BY91" s="25">
        <v>24568.098360191914</v>
      </c>
      <c r="BZ91" s="24">
        <v>26725.620428963008</v>
      </c>
      <c r="CA91" s="24">
        <v>24139.511351494904</v>
      </c>
      <c r="CB91" s="24">
        <v>27938.10754980339</v>
      </c>
      <c r="CC91" s="24">
        <v>31284.024192082808</v>
      </c>
      <c r="CD91" s="24">
        <v>34153.41361508242</v>
      </c>
      <c r="CE91" s="24">
        <v>38381.304905814541</v>
      </c>
      <c r="CF91" s="24">
        <v>41378.803240472625</v>
      </c>
      <c r="CG91" s="24">
        <v>43005.040656731609</v>
      </c>
      <c r="CH91" s="24">
        <v>47647.617153872125</v>
      </c>
      <c r="CI91" s="24">
        <v>45441.528444103096</v>
      </c>
      <c r="CJ91" s="24">
        <v>41988.4533370399</v>
      </c>
      <c r="CK91" s="24">
        <v>42770.326598229993</v>
      </c>
      <c r="CL91" s="24">
        <v>45802.557351920004</v>
      </c>
      <c r="CM91" s="24">
        <v>49870.283387239899</v>
      </c>
      <c r="CN91" s="24">
        <v>54369.104705990001</v>
      </c>
      <c r="CO91" s="24">
        <v>53454.711159999999</v>
      </c>
      <c r="CP91" s="24">
        <v>58296.910109123302</v>
      </c>
      <c r="CQ91" s="24">
        <v>65149.748609890004</v>
      </c>
      <c r="CR91" s="25">
        <v>68701.810692619998</v>
      </c>
      <c r="CS91" s="25">
        <v>72054.410026290003</v>
      </c>
      <c r="CT91" s="25">
        <v>76012.645947750003</v>
      </c>
      <c r="CU91" s="69">
        <v>72385.562164029994</v>
      </c>
      <c r="CV91" s="188"/>
      <c r="CW91" s="262"/>
    </row>
    <row r="92" spans="1:264" x14ac:dyDescent="0.2">
      <c r="A92" s="6"/>
      <c r="B92" s="2"/>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5"/>
      <c r="AD92" s="15"/>
      <c r="AE92" s="15"/>
      <c r="AF92" s="15"/>
      <c r="AG92" s="15"/>
      <c r="AH92" s="15"/>
      <c r="AI92" s="15"/>
      <c r="AJ92" s="14"/>
      <c r="AK92" s="4"/>
      <c r="AL92" s="14"/>
      <c r="AM92" s="15"/>
      <c r="AN92" s="14"/>
      <c r="AO92" s="14"/>
      <c r="AP92" s="14"/>
      <c r="AQ92" s="14"/>
      <c r="AR92" s="14"/>
      <c r="AS92" s="4"/>
      <c r="AT92" s="15"/>
      <c r="AU92" s="15"/>
      <c r="AV92" s="14"/>
      <c r="AW92" s="14"/>
      <c r="AX92" s="14"/>
      <c r="AY92" s="14"/>
      <c r="AZ92" s="14"/>
      <c r="BA92" s="14"/>
      <c r="BB92" s="14"/>
      <c r="BC92" s="14"/>
      <c r="BD92" s="14"/>
      <c r="BE92" s="14"/>
      <c r="BF92" s="14"/>
      <c r="BG92" s="14"/>
      <c r="BH92" s="14"/>
      <c r="BI92" s="15"/>
      <c r="BJ92" s="14"/>
      <c r="BK92" s="14"/>
      <c r="BL92" s="14"/>
      <c r="BM92" s="14"/>
      <c r="BN92" s="14"/>
      <c r="BO92" s="14"/>
      <c r="BP92" s="4"/>
      <c r="BQ92" s="14"/>
      <c r="BR92" s="14"/>
      <c r="BS92" s="14"/>
      <c r="BT92" s="14"/>
      <c r="BU92" s="14"/>
      <c r="BV92" s="14"/>
      <c r="BW92" s="15"/>
      <c r="BX92" s="15"/>
      <c r="BY92" s="15"/>
      <c r="BZ92" s="14"/>
      <c r="CA92" s="14"/>
      <c r="CB92" s="14"/>
      <c r="CC92" s="14"/>
      <c r="CD92" s="14"/>
      <c r="CE92" s="14"/>
      <c r="CF92" s="14"/>
      <c r="CG92" s="14"/>
      <c r="CH92" s="14"/>
      <c r="CI92" s="14"/>
      <c r="CJ92" s="14"/>
      <c r="CK92" s="14"/>
      <c r="CL92" s="14"/>
      <c r="CM92" s="14"/>
      <c r="CN92" s="14"/>
      <c r="CO92" s="14"/>
      <c r="CP92" s="14"/>
      <c r="CQ92" s="14"/>
      <c r="CR92" s="15"/>
      <c r="CS92" s="15"/>
      <c r="CT92" s="15"/>
      <c r="CU92" s="17"/>
    </row>
    <row r="93" spans="1:264" x14ac:dyDescent="0.2">
      <c r="A93" s="135" t="s">
        <v>160</v>
      </c>
      <c r="B93" s="2"/>
      <c r="C93" s="4"/>
      <c r="D93" s="14"/>
      <c r="E93" s="14"/>
      <c r="F93" s="4"/>
      <c r="G93" s="14"/>
      <c r="H93" s="14"/>
      <c r="I93" s="14"/>
      <c r="J93" s="14"/>
      <c r="K93" s="14"/>
      <c r="L93" s="14"/>
      <c r="M93" s="14"/>
      <c r="N93" s="14"/>
      <c r="O93" s="14"/>
      <c r="P93" s="14"/>
      <c r="Q93" s="14"/>
      <c r="R93" s="14"/>
      <c r="S93" s="14"/>
      <c r="T93" s="14"/>
      <c r="U93" s="14"/>
      <c r="V93" s="14"/>
      <c r="W93" s="14"/>
      <c r="X93" s="14"/>
      <c r="Y93" s="14"/>
      <c r="Z93" s="14"/>
      <c r="AA93" s="14"/>
      <c r="AB93" s="14"/>
      <c r="AC93" s="4"/>
      <c r="AD93" s="15"/>
      <c r="AE93" s="15"/>
      <c r="AF93" s="15"/>
      <c r="AG93" s="15"/>
      <c r="AH93" s="15"/>
      <c r="AI93" s="15"/>
      <c r="AJ93" s="14"/>
      <c r="AK93" s="4"/>
      <c r="AL93" s="14"/>
      <c r="AM93" s="15"/>
      <c r="AN93" s="14"/>
      <c r="AO93" s="14"/>
      <c r="AP93" s="14"/>
      <c r="AQ93" s="14"/>
      <c r="AR93" s="14"/>
      <c r="AS93" s="4"/>
      <c r="AT93" s="15"/>
      <c r="AU93" s="15"/>
      <c r="AV93" s="14"/>
      <c r="AW93" s="14"/>
      <c r="AX93" s="14"/>
      <c r="AY93" s="14"/>
      <c r="AZ93" s="14"/>
      <c r="BA93" s="14"/>
      <c r="BB93" s="14"/>
      <c r="BC93" s="14"/>
      <c r="BD93" s="14"/>
      <c r="BE93" s="14"/>
      <c r="BF93" s="14"/>
      <c r="BG93" s="14"/>
      <c r="BH93" s="14"/>
      <c r="BI93" s="4"/>
      <c r="BJ93" s="14"/>
      <c r="BK93" s="14"/>
      <c r="BL93" s="14"/>
      <c r="BM93" s="14"/>
      <c r="BN93" s="14"/>
      <c r="BO93" s="14"/>
      <c r="BP93" s="4"/>
      <c r="BQ93" s="14"/>
      <c r="BR93" s="4"/>
      <c r="BS93" s="14"/>
      <c r="BT93" s="14"/>
      <c r="BU93" s="14"/>
      <c r="BV93" s="14"/>
      <c r="BW93" s="15"/>
      <c r="BX93" s="15"/>
      <c r="BY93" s="15"/>
      <c r="BZ93" s="14"/>
      <c r="CA93" s="14"/>
      <c r="CB93" s="14"/>
      <c r="CC93" s="14"/>
      <c r="CD93" s="14"/>
      <c r="CE93" s="14"/>
      <c r="CF93" s="14"/>
      <c r="CG93" s="14"/>
      <c r="CH93" s="14"/>
      <c r="CI93" s="14"/>
      <c r="CJ93" s="14"/>
      <c r="CK93" s="14"/>
      <c r="CL93" s="14"/>
      <c r="CM93" s="14"/>
      <c r="CN93" s="14"/>
      <c r="CO93" s="14"/>
      <c r="CP93" s="14"/>
      <c r="CQ93" s="14"/>
      <c r="CR93" s="15"/>
      <c r="CS93" s="15"/>
      <c r="CT93" s="15"/>
      <c r="CU93" s="17"/>
    </row>
    <row r="94" spans="1:264" x14ac:dyDescent="0.2">
      <c r="A94" s="23" t="s">
        <v>161</v>
      </c>
      <c r="B94" s="250"/>
      <c r="C94" s="232" t="s">
        <v>49</v>
      </c>
      <c r="D94" s="24" t="s">
        <v>49</v>
      </c>
      <c r="E94" s="24" t="s">
        <v>49</v>
      </c>
      <c r="F94" s="232" t="s">
        <v>49</v>
      </c>
      <c r="G94" s="24" t="s">
        <v>49</v>
      </c>
      <c r="H94" s="24" t="s">
        <v>49</v>
      </c>
      <c r="I94" s="24" t="s">
        <v>49</v>
      </c>
      <c r="J94" s="24" t="s">
        <v>49</v>
      </c>
      <c r="K94" s="24" t="s">
        <v>49</v>
      </c>
      <c r="L94" s="24" t="s">
        <v>49</v>
      </c>
      <c r="M94" s="24" t="s">
        <v>49</v>
      </c>
      <c r="N94" s="24" t="s">
        <v>49</v>
      </c>
      <c r="O94" s="24" t="s">
        <v>49</v>
      </c>
      <c r="P94" s="24" t="s">
        <v>49</v>
      </c>
      <c r="Q94" s="24" t="s">
        <v>49</v>
      </c>
      <c r="R94" s="24" t="s">
        <v>49</v>
      </c>
      <c r="S94" s="24" t="s">
        <v>49</v>
      </c>
      <c r="T94" s="24" t="s">
        <v>49</v>
      </c>
      <c r="U94" s="24" t="s">
        <v>49</v>
      </c>
      <c r="V94" s="24" t="s">
        <v>49</v>
      </c>
      <c r="W94" s="24" t="s">
        <v>49</v>
      </c>
      <c r="X94" s="24" t="s">
        <v>49</v>
      </c>
      <c r="Y94" s="24" t="s">
        <v>49</v>
      </c>
      <c r="Z94" s="24" t="s">
        <v>49</v>
      </c>
      <c r="AA94" s="24" t="s">
        <v>49</v>
      </c>
      <c r="AB94" s="24" t="s">
        <v>49</v>
      </c>
      <c r="AC94" s="232" t="s">
        <v>49</v>
      </c>
      <c r="AD94" s="25" t="s">
        <v>49</v>
      </c>
      <c r="AE94" s="25" t="s">
        <v>49</v>
      </c>
      <c r="AF94" s="25" t="s">
        <v>49</v>
      </c>
      <c r="AG94" s="25" t="s">
        <v>49</v>
      </c>
      <c r="AH94" s="25" t="s">
        <v>49</v>
      </c>
      <c r="AI94" s="25" t="s">
        <v>49</v>
      </c>
      <c r="AJ94" s="24" t="s">
        <v>49</v>
      </c>
      <c r="AK94" s="232" t="s">
        <v>49</v>
      </c>
      <c r="AL94" s="24" t="s">
        <v>49</v>
      </c>
      <c r="AM94" s="25" t="s">
        <v>49</v>
      </c>
      <c r="AN94" s="24" t="s">
        <v>49</v>
      </c>
      <c r="AO94" s="24" t="s">
        <v>49</v>
      </c>
      <c r="AP94" s="24" t="s">
        <v>49</v>
      </c>
      <c r="AQ94" s="24" t="s">
        <v>49</v>
      </c>
      <c r="AR94" s="24" t="s">
        <v>49</v>
      </c>
      <c r="AS94" s="232" t="s">
        <v>49</v>
      </c>
      <c r="AT94" s="25" t="s">
        <v>49</v>
      </c>
      <c r="AU94" s="25" t="s">
        <v>49</v>
      </c>
      <c r="AV94" s="24" t="s">
        <v>49</v>
      </c>
      <c r="AW94" s="24" t="s">
        <v>49</v>
      </c>
      <c r="AX94" s="24" t="s">
        <v>49</v>
      </c>
      <c r="AY94" s="24" t="s">
        <v>49</v>
      </c>
      <c r="AZ94" s="24" t="s">
        <v>49</v>
      </c>
      <c r="BA94" s="24" t="s">
        <v>49</v>
      </c>
      <c r="BB94" s="24" t="s">
        <v>49</v>
      </c>
      <c r="BC94" s="24" t="s">
        <v>49</v>
      </c>
      <c r="BD94" s="24" t="s">
        <v>49</v>
      </c>
      <c r="BE94" s="24" t="s">
        <v>49</v>
      </c>
      <c r="BF94" s="24">
        <f>+BF97-BF95-BF96</f>
        <v>82019.061029409946</v>
      </c>
      <c r="BG94" s="24">
        <v>97340.090547021333</v>
      </c>
      <c r="BH94" s="24">
        <v>99292.34487350189</v>
      </c>
      <c r="BI94" s="232">
        <v>100065.01771354105</v>
      </c>
      <c r="BJ94" s="24">
        <v>111208.95146228168</v>
      </c>
      <c r="BK94" s="24">
        <v>110751.32749207139</v>
      </c>
      <c r="BL94" s="24">
        <v>114613.40061547107</v>
      </c>
      <c r="BM94" s="24">
        <v>127003.42987181769</v>
      </c>
      <c r="BN94" s="24">
        <v>130339.15425019324</v>
      </c>
      <c r="BO94" s="24">
        <v>139314.82273297734</v>
      </c>
      <c r="BP94" s="232">
        <v>147724.73755277597</v>
      </c>
      <c r="BQ94" s="24">
        <v>153687.79926842012</v>
      </c>
      <c r="BR94" s="232">
        <v>157187.77352014344</v>
      </c>
      <c r="BS94" s="24">
        <v>158855.61128088884</v>
      </c>
      <c r="BT94" s="24">
        <v>168582.03371268147</v>
      </c>
      <c r="BU94" s="24">
        <v>181326.27643196759</v>
      </c>
      <c r="BV94" s="24">
        <v>166362.10075204671</v>
      </c>
      <c r="BW94" s="25">
        <v>186258.2414004973</v>
      </c>
      <c r="BX94" s="25">
        <v>200469.54381484751</v>
      </c>
      <c r="BY94" s="25">
        <v>211257.52945785911</v>
      </c>
      <c r="BZ94" s="24">
        <v>228251.45340364997</v>
      </c>
      <c r="CA94" s="24">
        <v>216223.17195707257</v>
      </c>
      <c r="CB94" s="24">
        <v>256555.80929922214</v>
      </c>
      <c r="CC94" s="24">
        <v>293944.81665315892</v>
      </c>
      <c r="CD94" s="24">
        <v>327705.34571227297</v>
      </c>
      <c r="CE94" s="24">
        <v>379543.96403476864</v>
      </c>
      <c r="CF94" s="24">
        <v>408733.43280764151</v>
      </c>
      <c r="CG94" s="24">
        <v>418797.21568966442</v>
      </c>
      <c r="CH94" s="24">
        <v>461421.26960407163</v>
      </c>
      <c r="CI94" s="24">
        <v>416303.68688289577</v>
      </c>
      <c r="CJ94" s="24">
        <v>370823.6721944547</v>
      </c>
      <c r="CK94" s="24">
        <v>364187.9711739794</v>
      </c>
      <c r="CL94" s="24">
        <v>377060.43998014188</v>
      </c>
      <c r="CM94" s="24">
        <v>406943.45004502049</v>
      </c>
      <c r="CN94" s="24">
        <v>424346.00859167334</v>
      </c>
      <c r="CO94" s="24">
        <v>412469.01374999998</v>
      </c>
      <c r="CP94" s="24">
        <v>446557.69324828841</v>
      </c>
      <c r="CQ94" s="24">
        <v>490506.04968082922</v>
      </c>
      <c r="CR94" s="25">
        <v>510624.92177051742</v>
      </c>
      <c r="CS94" s="25">
        <v>531228.46805964701</v>
      </c>
      <c r="CT94" s="25">
        <v>538151.79125340586</v>
      </c>
      <c r="CU94" s="69">
        <v>521725.22108014475</v>
      </c>
    </row>
    <row r="95" spans="1:264" x14ac:dyDescent="0.2">
      <c r="A95" s="23" t="s">
        <v>162</v>
      </c>
      <c r="B95" s="250"/>
      <c r="C95" s="232" t="s">
        <v>49</v>
      </c>
      <c r="D95" s="24" t="s">
        <v>49</v>
      </c>
      <c r="E95" s="24" t="s">
        <v>49</v>
      </c>
      <c r="F95" s="232" t="s">
        <v>49</v>
      </c>
      <c r="G95" s="24" t="s">
        <v>49</v>
      </c>
      <c r="H95" s="24" t="s">
        <v>49</v>
      </c>
      <c r="I95" s="24" t="s">
        <v>49</v>
      </c>
      <c r="J95" s="24" t="s">
        <v>49</v>
      </c>
      <c r="K95" s="24" t="s">
        <v>49</v>
      </c>
      <c r="L95" s="24" t="s">
        <v>49</v>
      </c>
      <c r="M95" s="24" t="s">
        <v>49</v>
      </c>
      <c r="N95" s="24" t="s">
        <v>49</v>
      </c>
      <c r="O95" s="24" t="s">
        <v>49</v>
      </c>
      <c r="P95" s="24" t="s">
        <v>49</v>
      </c>
      <c r="Q95" s="24" t="s">
        <v>49</v>
      </c>
      <c r="R95" s="24" t="s">
        <v>49</v>
      </c>
      <c r="S95" s="24" t="s">
        <v>49</v>
      </c>
      <c r="T95" s="24" t="s">
        <v>49</v>
      </c>
      <c r="U95" s="24" t="s">
        <v>49</v>
      </c>
      <c r="V95" s="24" t="s">
        <v>49</v>
      </c>
      <c r="W95" s="24" t="s">
        <v>49</v>
      </c>
      <c r="X95" s="24" t="s">
        <v>49</v>
      </c>
      <c r="Y95" s="24" t="s">
        <v>49</v>
      </c>
      <c r="Z95" s="24" t="s">
        <v>49</v>
      </c>
      <c r="AA95" s="24" t="s">
        <v>49</v>
      </c>
      <c r="AB95" s="24" t="s">
        <v>49</v>
      </c>
      <c r="AC95" s="232" t="s">
        <v>49</v>
      </c>
      <c r="AD95" s="25" t="s">
        <v>49</v>
      </c>
      <c r="AE95" s="25" t="s">
        <v>49</v>
      </c>
      <c r="AF95" s="25" t="s">
        <v>49</v>
      </c>
      <c r="AG95" s="25" t="s">
        <v>49</v>
      </c>
      <c r="AH95" s="25" t="s">
        <v>49</v>
      </c>
      <c r="AI95" s="25" t="s">
        <v>49</v>
      </c>
      <c r="AJ95" s="24" t="s">
        <v>49</v>
      </c>
      <c r="AK95" s="232" t="s">
        <v>49</v>
      </c>
      <c r="AL95" s="24" t="s">
        <v>49</v>
      </c>
      <c r="AM95" s="25" t="s">
        <v>49</v>
      </c>
      <c r="AN95" s="24" t="s">
        <v>49</v>
      </c>
      <c r="AO95" s="24" t="s">
        <v>49</v>
      </c>
      <c r="AP95" s="24" t="s">
        <v>49</v>
      </c>
      <c r="AQ95" s="24" t="s">
        <v>49</v>
      </c>
      <c r="AR95" s="24" t="s">
        <v>49</v>
      </c>
      <c r="AS95" s="232" t="s">
        <v>49</v>
      </c>
      <c r="AT95" s="25" t="s">
        <v>49</v>
      </c>
      <c r="AU95" s="25" t="s">
        <v>49</v>
      </c>
      <c r="AV95" s="24" t="s">
        <v>49</v>
      </c>
      <c r="AW95" s="24" t="s">
        <v>49</v>
      </c>
      <c r="AX95" s="24" t="s">
        <v>49</v>
      </c>
      <c r="AY95" s="24" t="s">
        <v>49</v>
      </c>
      <c r="AZ95" s="24" t="s">
        <v>49</v>
      </c>
      <c r="BA95" s="24" t="s">
        <v>49</v>
      </c>
      <c r="BB95" s="24" t="s">
        <v>49</v>
      </c>
      <c r="BC95" s="24" t="s">
        <v>49</v>
      </c>
      <c r="BD95" s="24" t="s">
        <v>49</v>
      </c>
      <c r="BE95" s="24" t="s">
        <v>49</v>
      </c>
      <c r="BF95" s="24">
        <v>60790.146991810048</v>
      </c>
      <c r="BG95" s="24">
        <v>71874.416457370084</v>
      </c>
      <c r="BH95" s="24">
        <v>71431.761874479809</v>
      </c>
      <c r="BI95" s="232">
        <v>71521.390889819755</v>
      </c>
      <c r="BJ95" s="24">
        <v>80613.59602131987</v>
      </c>
      <c r="BK95" s="24">
        <v>78373.507372880034</v>
      </c>
      <c r="BL95" s="24">
        <v>84855.972122179694</v>
      </c>
      <c r="BM95" s="24">
        <v>96187.33700462975</v>
      </c>
      <c r="BN95" s="24">
        <v>100916.58799842992</v>
      </c>
      <c r="BO95" s="24">
        <v>107310.55548872988</v>
      </c>
      <c r="BP95" s="232">
        <v>113338.40424046987</v>
      </c>
      <c r="BQ95" s="24">
        <v>117814.47099163938</v>
      </c>
      <c r="BR95" s="232">
        <v>115813.57226822867</v>
      </c>
      <c r="BS95" s="24">
        <v>119662.16057251986</v>
      </c>
      <c r="BT95" s="24">
        <v>127139.21811291925</v>
      </c>
      <c r="BU95" s="24">
        <v>136869.92597008985</v>
      </c>
      <c r="BV95" s="24">
        <v>122021.51691237986</v>
      </c>
      <c r="BW95" s="25">
        <v>136176.43708045929</v>
      </c>
      <c r="BX95" s="25">
        <v>145623.40113168041</v>
      </c>
      <c r="BY95" s="25">
        <v>151772.52774572023</v>
      </c>
      <c r="BZ95" s="24">
        <v>164495.6456089296</v>
      </c>
      <c r="CA95" s="24">
        <v>139687.78352717913</v>
      </c>
      <c r="CB95" s="24">
        <v>172101.57666771003</v>
      </c>
      <c r="CC95" s="24">
        <v>200847.93112338983</v>
      </c>
      <c r="CD95" s="24">
        <v>221280.97164359046</v>
      </c>
      <c r="CE95" s="24">
        <v>249035.10966642899</v>
      </c>
      <c r="CF95" s="24">
        <v>277235.44120501942</v>
      </c>
      <c r="CG95" s="24">
        <v>288032.61996811919</v>
      </c>
      <c r="CH95" s="24">
        <v>315179.29805923911</v>
      </c>
      <c r="CI95" s="24">
        <v>292409.75430370902</v>
      </c>
      <c r="CJ95" s="24">
        <v>254114.362074651</v>
      </c>
      <c r="CK95" s="24">
        <v>248120.00220907002</v>
      </c>
      <c r="CL95" s="24">
        <v>257945.665856073</v>
      </c>
      <c r="CM95" s="24">
        <v>264810.24849203002</v>
      </c>
      <c r="CN95" s="24">
        <v>268635.03517575702</v>
      </c>
      <c r="CO95" s="24">
        <v>259579.14037000001</v>
      </c>
      <c r="CP95" s="24">
        <v>285584.640484943</v>
      </c>
      <c r="CQ95" s="24">
        <v>311644.10887794202</v>
      </c>
      <c r="CR95" s="25">
        <v>324940.26427242398</v>
      </c>
      <c r="CS95" s="25">
        <v>335841.55142936303</v>
      </c>
      <c r="CT95" s="25">
        <v>352597.79413246003</v>
      </c>
      <c r="CU95" s="69">
        <v>346620.38905682095</v>
      </c>
    </row>
    <row r="96" spans="1:264" x14ac:dyDescent="0.2">
      <c r="A96" s="23" t="s">
        <v>163</v>
      </c>
      <c r="B96" s="250"/>
      <c r="C96" s="232" t="s">
        <v>49</v>
      </c>
      <c r="D96" s="24" t="s">
        <v>49</v>
      </c>
      <c r="E96" s="24" t="s">
        <v>49</v>
      </c>
      <c r="F96" s="232" t="s">
        <v>49</v>
      </c>
      <c r="G96" s="24" t="s">
        <v>49</v>
      </c>
      <c r="H96" s="24" t="s">
        <v>49</v>
      </c>
      <c r="I96" s="24" t="s">
        <v>49</v>
      </c>
      <c r="J96" s="24" t="s">
        <v>49</v>
      </c>
      <c r="K96" s="24" t="s">
        <v>49</v>
      </c>
      <c r="L96" s="24" t="s">
        <v>49</v>
      </c>
      <c r="M96" s="24" t="s">
        <v>49</v>
      </c>
      <c r="N96" s="24" t="s">
        <v>49</v>
      </c>
      <c r="O96" s="24" t="s">
        <v>49</v>
      </c>
      <c r="P96" s="24" t="s">
        <v>49</v>
      </c>
      <c r="Q96" s="24" t="s">
        <v>49</v>
      </c>
      <c r="R96" s="24" t="s">
        <v>49</v>
      </c>
      <c r="S96" s="24" t="s">
        <v>49</v>
      </c>
      <c r="T96" s="24" t="s">
        <v>49</v>
      </c>
      <c r="U96" s="24" t="s">
        <v>49</v>
      </c>
      <c r="V96" s="24" t="s">
        <v>49</v>
      </c>
      <c r="W96" s="24" t="s">
        <v>49</v>
      </c>
      <c r="X96" s="24" t="s">
        <v>49</v>
      </c>
      <c r="Y96" s="24" t="s">
        <v>49</v>
      </c>
      <c r="Z96" s="24" t="s">
        <v>49</v>
      </c>
      <c r="AA96" s="24" t="s">
        <v>49</v>
      </c>
      <c r="AB96" s="24" t="s">
        <v>49</v>
      </c>
      <c r="AC96" s="232" t="s">
        <v>49</v>
      </c>
      <c r="AD96" s="25" t="s">
        <v>49</v>
      </c>
      <c r="AE96" s="25" t="s">
        <v>49</v>
      </c>
      <c r="AF96" s="25" t="s">
        <v>49</v>
      </c>
      <c r="AG96" s="25" t="s">
        <v>49</v>
      </c>
      <c r="AH96" s="25" t="s">
        <v>49</v>
      </c>
      <c r="AI96" s="25" t="s">
        <v>49</v>
      </c>
      <c r="AJ96" s="24" t="s">
        <v>49</v>
      </c>
      <c r="AK96" s="232" t="s">
        <v>49</v>
      </c>
      <c r="AL96" s="24" t="s">
        <v>49</v>
      </c>
      <c r="AM96" s="25" t="s">
        <v>49</v>
      </c>
      <c r="AN96" s="24" t="s">
        <v>49</v>
      </c>
      <c r="AO96" s="24" t="s">
        <v>49</v>
      </c>
      <c r="AP96" s="24" t="s">
        <v>49</v>
      </c>
      <c r="AQ96" s="24" t="s">
        <v>49</v>
      </c>
      <c r="AR96" s="24" t="s">
        <v>49</v>
      </c>
      <c r="AS96" s="232" t="s">
        <v>49</v>
      </c>
      <c r="AT96" s="25" t="s">
        <v>49</v>
      </c>
      <c r="AU96" s="25" t="s">
        <v>49</v>
      </c>
      <c r="AV96" s="24" t="s">
        <v>49</v>
      </c>
      <c r="AW96" s="24" t="s">
        <v>49</v>
      </c>
      <c r="AX96" s="24" t="s">
        <v>49</v>
      </c>
      <c r="AY96" s="24" t="s">
        <v>49</v>
      </c>
      <c r="AZ96" s="24" t="s">
        <v>49</v>
      </c>
      <c r="BA96" s="24" t="s">
        <v>49</v>
      </c>
      <c r="BB96" s="24" t="s">
        <v>49</v>
      </c>
      <c r="BC96" s="24" t="s">
        <v>49</v>
      </c>
      <c r="BD96" s="24" t="s">
        <v>49</v>
      </c>
      <c r="BE96" s="24" t="s">
        <v>49</v>
      </c>
      <c r="BF96" s="24">
        <v>4466.5122217599965</v>
      </c>
      <c r="BG96" s="24">
        <v>4830.4452738099944</v>
      </c>
      <c r="BH96" s="24">
        <v>5065.3978426699923</v>
      </c>
      <c r="BI96" s="232">
        <v>5024.9798729400054</v>
      </c>
      <c r="BJ96" s="24">
        <v>6366.6468752899973</v>
      </c>
      <c r="BK96" s="24">
        <v>6502.1315701599924</v>
      </c>
      <c r="BL96" s="24">
        <v>6389.1762933999926</v>
      </c>
      <c r="BM96" s="24">
        <v>7237.8288853200029</v>
      </c>
      <c r="BN96" s="24">
        <v>7889.0247029300044</v>
      </c>
      <c r="BO96" s="24">
        <v>8426.0101067200485</v>
      </c>
      <c r="BP96" s="232">
        <v>9285.6983306600323</v>
      </c>
      <c r="BQ96" s="24">
        <v>9475.6149352800276</v>
      </c>
      <c r="BR96" s="232">
        <v>9929.6592938000449</v>
      </c>
      <c r="BS96" s="24">
        <v>10202.859153010009</v>
      </c>
      <c r="BT96" s="24">
        <v>11422.237769740019</v>
      </c>
      <c r="BU96" s="24">
        <v>12786.660622210025</v>
      </c>
      <c r="BV96" s="24">
        <v>11595.686177000007</v>
      </c>
      <c r="BW96" s="25">
        <v>13232.927021350009</v>
      </c>
      <c r="BX96" s="25">
        <v>13193.197216680015</v>
      </c>
      <c r="BY96" s="25">
        <v>14054.381786420017</v>
      </c>
      <c r="BZ96" s="24">
        <v>14971.624459720008</v>
      </c>
      <c r="CA96" s="24">
        <v>12253.810549890002</v>
      </c>
      <c r="CB96" s="24">
        <v>15922.416580610035</v>
      </c>
      <c r="CC96" s="24">
        <v>19399.544640710028</v>
      </c>
      <c r="CD96" s="24">
        <v>21522.825851180045</v>
      </c>
      <c r="CE96" s="24">
        <v>25365.551689319986</v>
      </c>
      <c r="CF96" s="24">
        <v>27603.978621060003</v>
      </c>
      <c r="CG96" s="24">
        <v>28155.102985160011</v>
      </c>
      <c r="CH96" s="24">
        <v>32998.865791160002</v>
      </c>
      <c r="CI96" s="24">
        <v>32185.428278409989</v>
      </c>
      <c r="CJ96" s="24">
        <v>27732.888737117799</v>
      </c>
      <c r="CK96" s="24">
        <v>27633.9503522864</v>
      </c>
      <c r="CL96" s="24">
        <v>28848.250488954291</v>
      </c>
      <c r="CM96" s="24">
        <v>43972.220673265183</v>
      </c>
      <c r="CN96" s="24">
        <v>43906.744696056499</v>
      </c>
      <c r="CO96" s="24">
        <v>43382.035470000003</v>
      </c>
      <c r="CP96" s="24">
        <v>49559.991509953383</v>
      </c>
      <c r="CQ96" s="24">
        <v>56757.552408525298</v>
      </c>
      <c r="CR96" s="25">
        <v>58140.709226774794</v>
      </c>
      <c r="CS96" s="25">
        <v>60449.700932348496</v>
      </c>
      <c r="CT96" s="25">
        <v>64211.928776985798</v>
      </c>
      <c r="CU96" s="69">
        <v>62620.100308734094</v>
      </c>
    </row>
    <row r="97" spans="1:103" x14ac:dyDescent="0.2">
      <c r="A97" s="27" t="s">
        <v>194</v>
      </c>
      <c r="B97" s="279"/>
      <c r="C97" s="28" t="s">
        <v>49</v>
      </c>
      <c r="D97" s="28" t="s">
        <v>49</v>
      </c>
      <c r="E97" s="28" t="s">
        <v>49</v>
      </c>
      <c r="F97" s="28" t="s">
        <v>49</v>
      </c>
      <c r="G97" s="28" t="s">
        <v>49</v>
      </c>
      <c r="H97" s="28" t="s">
        <v>49</v>
      </c>
      <c r="I97" s="28" t="s">
        <v>49</v>
      </c>
      <c r="J97" s="28" t="s">
        <v>49</v>
      </c>
      <c r="K97" s="28" t="s">
        <v>49</v>
      </c>
      <c r="L97" s="28" t="s">
        <v>49</v>
      </c>
      <c r="M97" s="28" t="s">
        <v>49</v>
      </c>
      <c r="N97" s="28" t="s">
        <v>49</v>
      </c>
      <c r="O97" s="28" t="s">
        <v>49</v>
      </c>
      <c r="P97" s="28" t="s">
        <v>49</v>
      </c>
      <c r="Q97" s="28" t="s">
        <v>49</v>
      </c>
      <c r="R97" s="28" t="s">
        <v>49</v>
      </c>
      <c r="S97" s="28" t="s">
        <v>49</v>
      </c>
      <c r="T97" s="28" t="s">
        <v>49</v>
      </c>
      <c r="U97" s="28" t="s">
        <v>49</v>
      </c>
      <c r="V97" s="28" t="s">
        <v>49</v>
      </c>
      <c r="W97" s="28" t="s">
        <v>49</v>
      </c>
      <c r="X97" s="28" t="s">
        <v>49</v>
      </c>
      <c r="Y97" s="28" t="s">
        <v>49</v>
      </c>
      <c r="Z97" s="28" t="s">
        <v>49</v>
      </c>
      <c r="AA97" s="28" t="s">
        <v>49</v>
      </c>
      <c r="AB97" s="28" t="s">
        <v>49</v>
      </c>
      <c r="AC97" s="28" t="s">
        <v>49</v>
      </c>
      <c r="AD97" s="28" t="s">
        <v>49</v>
      </c>
      <c r="AE97" s="28" t="s">
        <v>49</v>
      </c>
      <c r="AF97" s="28" t="s">
        <v>49</v>
      </c>
      <c r="AG97" s="28" t="s">
        <v>49</v>
      </c>
      <c r="AH97" s="28" t="s">
        <v>49</v>
      </c>
      <c r="AI97" s="28" t="s">
        <v>49</v>
      </c>
      <c r="AJ97" s="28" t="s">
        <v>49</v>
      </c>
      <c r="AK97" s="28" t="s">
        <v>49</v>
      </c>
      <c r="AL97" s="28" t="s">
        <v>49</v>
      </c>
      <c r="AM97" s="28" t="s">
        <v>49</v>
      </c>
      <c r="AN97" s="28" t="s">
        <v>49</v>
      </c>
      <c r="AO97" s="28" t="s">
        <v>49</v>
      </c>
      <c r="AP97" s="28" t="s">
        <v>49</v>
      </c>
      <c r="AQ97" s="28" t="s">
        <v>49</v>
      </c>
      <c r="AR97" s="28" t="s">
        <v>49</v>
      </c>
      <c r="AS97" s="28" t="s">
        <v>49</v>
      </c>
      <c r="AT97" s="28" t="s">
        <v>49</v>
      </c>
      <c r="AU97" s="28" t="s">
        <v>49</v>
      </c>
      <c r="AV97" s="28" t="s">
        <v>49</v>
      </c>
      <c r="AW97" s="28" t="s">
        <v>49</v>
      </c>
      <c r="AX97" s="28" t="s">
        <v>49</v>
      </c>
      <c r="AY97" s="28" t="s">
        <v>49</v>
      </c>
      <c r="AZ97" s="28" t="s">
        <v>49</v>
      </c>
      <c r="BA97" s="28" t="s">
        <v>49</v>
      </c>
      <c r="BB97" s="28" t="s">
        <v>49</v>
      </c>
      <c r="BC97" s="28" t="s">
        <v>49</v>
      </c>
      <c r="BD97" s="28" t="s">
        <v>49</v>
      </c>
      <c r="BE97" s="28" t="s">
        <v>49</v>
      </c>
      <c r="BF97" s="28">
        <f>+BF88</f>
        <v>147275.72024297999</v>
      </c>
      <c r="BG97" s="28">
        <f t="shared" ref="BG97:BT97" si="64">SUM(BG94:BG96)</f>
        <v>174044.95227820141</v>
      </c>
      <c r="BH97" s="28">
        <f t="shared" si="64"/>
        <v>175789.50459065169</v>
      </c>
      <c r="BI97" s="28">
        <f t="shared" si="64"/>
        <v>176611.38847630081</v>
      </c>
      <c r="BJ97" s="28">
        <f t="shared" si="64"/>
        <v>198189.19435889155</v>
      </c>
      <c r="BK97" s="28">
        <f t="shared" si="64"/>
        <v>195626.96643511142</v>
      </c>
      <c r="BL97" s="28">
        <f t="shared" si="64"/>
        <v>205858.54903105076</v>
      </c>
      <c r="BM97" s="28">
        <f t="shared" si="64"/>
        <v>230428.59576176741</v>
      </c>
      <c r="BN97" s="28">
        <f t="shared" si="64"/>
        <v>239144.76695155317</v>
      </c>
      <c r="BO97" s="28">
        <f t="shared" si="64"/>
        <v>255051.38832842727</v>
      </c>
      <c r="BP97" s="28">
        <f t="shared" si="64"/>
        <v>270348.84012390592</v>
      </c>
      <c r="BQ97" s="28">
        <f t="shared" si="64"/>
        <v>280977.88519533956</v>
      </c>
      <c r="BR97" s="28">
        <f t="shared" si="64"/>
        <v>282931.00508217217</v>
      </c>
      <c r="BS97" s="28">
        <f t="shared" si="64"/>
        <v>288720.63100641873</v>
      </c>
      <c r="BT97" s="28">
        <f t="shared" si="64"/>
        <v>307143.48959534074</v>
      </c>
      <c r="BU97" s="28">
        <f t="shared" ref="BU97:CP97" si="65">SUM(BU94:BU96)</f>
        <v>330982.86302426748</v>
      </c>
      <c r="BV97" s="28">
        <f t="shared" si="65"/>
        <v>299979.30384142656</v>
      </c>
      <c r="BW97" s="235">
        <f t="shared" si="65"/>
        <v>335667.6055023066</v>
      </c>
      <c r="BX97" s="235">
        <f>SUM(BX94:BX96)</f>
        <v>359286.14216320799</v>
      </c>
      <c r="BY97" s="235">
        <f>SUM(BY94:BY96)</f>
        <v>377084.43898999935</v>
      </c>
      <c r="BZ97" s="28">
        <f t="shared" si="65"/>
        <v>407718.72347229952</v>
      </c>
      <c r="CA97" s="28">
        <f t="shared" si="65"/>
        <v>368164.76603414171</v>
      </c>
      <c r="CB97" s="28">
        <f t="shared" si="65"/>
        <v>444579.8025475422</v>
      </c>
      <c r="CC97" s="28">
        <f t="shared" si="65"/>
        <v>514192.29241725878</v>
      </c>
      <c r="CD97" s="28">
        <f t="shared" si="65"/>
        <v>570509.14320704341</v>
      </c>
      <c r="CE97" s="28">
        <f t="shared" si="65"/>
        <v>653944.62539051764</v>
      </c>
      <c r="CF97" s="28">
        <f t="shared" si="65"/>
        <v>713572.85263372096</v>
      </c>
      <c r="CG97" s="28">
        <f t="shared" si="65"/>
        <v>734984.93864294351</v>
      </c>
      <c r="CH97" s="28">
        <f t="shared" si="65"/>
        <v>809599.43345447083</v>
      </c>
      <c r="CI97" s="28">
        <f t="shared" si="65"/>
        <v>740898.86946501478</v>
      </c>
      <c r="CJ97" s="28">
        <f t="shared" si="65"/>
        <v>652670.9230062234</v>
      </c>
      <c r="CK97" s="28">
        <f t="shared" si="65"/>
        <v>639941.92373533593</v>
      </c>
      <c r="CL97" s="28">
        <f t="shared" si="65"/>
        <v>663854.35632516909</v>
      </c>
      <c r="CM97" s="28">
        <f t="shared" si="65"/>
        <v>715725.91921031568</v>
      </c>
      <c r="CN97" s="28">
        <f t="shared" si="65"/>
        <v>736887.78846348682</v>
      </c>
      <c r="CO97" s="28">
        <f t="shared" si="65"/>
        <v>715430.18958999997</v>
      </c>
      <c r="CP97" s="28">
        <f t="shared" si="65"/>
        <v>781702.32524318481</v>
      </c>
      <c r="CQ97" s="28">
        <f>SUM(CQ94:CQ96)</f>
        <v>858907.7109672965</v>
      </c>
      <c r="CR97" s="235">
        <f>SUM(CR94:CR96)</f>
        <v>893705.89526971616</v>
      </c>
      <c r="CS97" s="235">
        <f>SUM(CS94:CS96)</f>
        <v>927519.72042135859</v>
      </c>
      <c r="CT97" s="235">
        <f>SUM(CT94:CT96)</f>
        <v>954961.51416285173</v>
      </c>
      <c r="CU97" s="336">
        <f>SUM(CU94:CU96)</f>
        <v>930965.71044569986</v>
      </c>
    </row>
    <row r="98" spans="1:103" x14ac:dyDescent="0.2">
      <c r="A98" s="6"/>
      <c r="B98" s="2"/>
      <c r="C98" s="4"/>
      <c r="D98" s="14"/>
      <c r="E98" s="14"/>
      <c r="F98" s="4"/>
      <c r="G98" s="14"/>
      <c r="H98" s="14"/>
      <c r="I98" s="14"/>
      <c r="J98" s="14"/>
      <c r="K98" s="14"/>
      <c r="L98" s="14"/>
      <c r="M98" s="14"/>
      <c r="N98" s="14"/>
      <c r="O98" s="14"/>
      <c r="P98" s="14"/>
      <c r="Q98" s="14"/>
      <c r="R98" s="14"/>
      <c r="S98" s="14"/>
      <c r="T98" s="14"/>
      <c r="U98" s="14"/>
      <c r="V98" s="14"/>
      <c r="W98" s="14"/>
      <c r="X98" s="14"/>
      <c r="Y98" s="14"/>
      <c r="Z98" s="14"/>
      <c r="AA98" s="14"/>
      <c r="AB98" s="14"/>
      <c r="AC98" s="4"/>
      <c r="AD98" s="15"/>
      <c r="AE98" s="15"/>
      <c r="AF98" s="15"/>
      <c r="AG98" s="15"/>
      <c r="AH98" s="15"/>
      <c r="AI98" s="15"/>
      <c r="AJ98" s="14"/>
      <c r="AK98" s="4"/>
      <c r="AL98" s="14"/>
      <c r="AM98" s="15"/>
      <c r="AN98" s="14"/>
      <c r="AO98" s="14"/>
      <c r="AP98" s="14"/>
      <c r="AQ98" s="14"/>
      <c r="AR98" s="14"/>
      <c r="AS98" s="4"/>
      <c r="AT98" s="15"/>
      <c r="AU98" s="15"/>
      <c r="AV98" s="14"/>
      <c r="AW98" s="14"/>
      <c r="AX98" s="14"/>
      <c r="AY98" s="14"/>
      <c r="AZ98" s="14"/>
      <c r="BA98" s="14"/>
      <c r="BB98" s="14"/>
      <c r="BC98" s="14"/>
      <c r="BD98" s="14"/>
      <c r="BE98" s="14"/>
      <c r="BF98" s="14"/>
      <c r="BG98" s="14"/>
      <c r="BH98" s="14"/>
      <c r="BI98" s="4"/>
      <c r="BJ98" s="14"/>
      <c r="BK98" s="14"/>
      <c r="BL98" s="14"/>
      <c r="BM98" s="14"/>
      <c r="BN98" s="14"/>
      <c r="BO98" s="14"/>
      <c r="BP98" s="4"/>
      <c r="BQ98" s="14"/>
      <c r="BR98" s="4"/>
      <c r="BS98" s="14"/>
      <c r="BT98" s="14"/>
      <c r="BU98" s="14"/>
      <c r="BV98" s="14"/>
      <c r="BW98" s="15"/>
      <c r="BX98" s="15"/>
      <c r="BY98" s="15"/>
      <c r="BZ98" s="14"/>
      <c r="CA98" s="14"/>
      <c r="CB98" s="14"/>
      <c r="CC98" s="14"/>
      <c r="CD98" s="14"/>
      <c r="CE98" s="14"/>
      <c r="CF98" s="14"/>
      <c r="CG98" s="14"/>
      <c r="CH98" s="14"/>
      <c r="CI98" s="14"/>
      <c r="CJ98" s="14"/>
      <c r="CK98" s="14"/>
      <c r="CL98" s="14"/>
      <c r="CM98" s="14"/>
      <c r="CN98" s="14"/>
      <c r="CO98" s="14"/>
      <c r="CP98" s="14"/>
      <c r="CQ98" s="14"/>
      <c r="CR98" s="15"/>
      <c r="CS98" s="15"/>
      <c r="CT98" s="15"/>
      <c r="CU98" s="17"/>
    </row>
    <row r="99" spans="1:103" x14ac:dyDescent="0.2">
      <c r="A99" s="135" t="s">
        <v>164</v>
      </c>
      <c r="B99" s="2"/>
      <c r="C99" s="4"/>
      <c r="D99" s="14"/>
      <c r="E99" s="14"/>
      <c r="F99" s="4"/>
      <c r="G99" s="14"/>
      <c r="H99" s="14"/>
      <c r="I99" s="14"/>
      <c r="J99" s="14"/>
      <c r="K99" s="14"/>
      <c r="L99" s="14"/>
      <c r="M99" s="14"/>
      <c r="N99" s="14"/>
      <c r="O99" s="14"/>
      <c r="P99" s="14"/>
      <c r="Q99" s="14"/>
      <c r="R99" s="14"/>
      <c r="S99" s="14"/>
      <c r="T99" s="14"/>
      <c r="U99" s="14"/>
      <c r="V99" s="14"/>
      <c r="W99" s="14"/>
      <c r="X99" s="14"/>
      <c r="Y99" s="14"/>
      <c r="Z99" s="14"/>
      <c r="AA99" s="14"/>
      <c r="AB99" s="14"/>
      <c r="AC99" s="4"/>
      <c r="AD99" s="15"/>
      <c r="AE99" s="15"/>
      <c r="AF99" s="15"/>
      <c r="AG99" s="15"/>
      <c r="AH99" s="15"/>
      <c r="AI99" s="15"/>
      <c r="AJ99" s="14"/>
      <c r="AK99" s="4"/>
      <c r="AL99" s="14"/>
      <c r="AM99" s="15"/>
      <c r="AN99" s="14"/>
      <c r="AO99" s="14"/>
      <c r="AP99" s="14"/>
      <c r="AQ99" s="14"/>
      <c r="AR99" s="14"/>
      <c r="AS99" s="4"/>
      <c r="AT99" s="15"/>
      <c r="AU99" s="15"/>
      <c r="AV99" s="14"/>
      <c r="AW99" s="14"/>
      <c r="AX99" s="14"/>
      <c r="AY99" s="14"/>
      <c r="AZ99" s="14"/>
      <c r="BA99" s="14"/>
      <c r="BB99" s="14"/>
      <c r="BC99" s="14"/>
      <c r="BD99" s="14"/>
      <c r="BE99" s="14"/>
      <c r="BF99" s="14"/>
      <c r="BG99" s="14"/>
      <c r="BH99" s="14"/>
      <c r="BI99" s="4"/>
      <c r="BJ99" s="14"/>
      <c r="BK99" s="14"/>
      <c r="BL99" s="14"/>
      <c r="BM99" s="14"/>
      <c r="BN99" s="14"/>
      <c r="BO99" s="14"/>
      <c r="BP99" s="4"/>
      <c r="BQ99" s="14"/>
      <c r="BR99" s="4"/>
      <c r="BS99" s="14"/>
      <c r="BT99" s="14"/>
      <c r="BU99" s="14"/>
      <c r="BV99" s="14"/>
      <c r="BW99" s="15"/>
      <c r="BX99" s="15"/>
      <c r="BY99" s="15"/>
      <c r="BZ99" s="14"/>
      <c r="CA99" s="14"/>
      <c r="CB99" s="14"/>
      <c r="CC99" s="14"/>
      <c r="CD99" s="14"/>
      <c r="CE99" s="14"/>
      <c r="CF99" s="14"/>
      <c r="CG99" s="14"/>
      <c r="CH99" s="14"/>
      <c r="CI99" s="14"/>
      <c r="CJ99" s="14"/>
      <c r="CK99" s="14"/>
      <c r="CL99" s="14"/>
      <c r="CM99" s="14"/>
      <c r="CN99" s="14"/>
      <c r="CO99" s="14"/>
      <c r="CP99" s="14"/>
      <c r="CQ99" s="14"/>
      <c r="CR99" s="15"/>
      <c r="CS99" s="15"/>
      <c r="CT99" s="15"/>
      <c r="CU99" s="17"/>
    </row>
    <row r="100" spans="1:103" x14ac:dyDescent="0.2">
      <c r="A100" s="23" t="s">
        <v>165</v>
      </c>
      <c r="B100" s="250">
        <v>-61.1</v>
      </c>
      <c r="C100" s="24">
        <v>91.8</v>
      </c>
      <c r="D100" s="24">
        <v>86.5</v>
      </c>
      <c r="E100" s="24">
        <v>155</v>
      </c>
      <c r="F100" s="24">
        <v>214.4</v>
      </c>
      <c r="G100" s="24">
        <v>281.2</v>
      </c>
      <c r="H100" s="24">
        <v>191.7</v>
      </c>
      <c r="I100" s="24">
        <v>179.6</v>
      </c>
      <c r="J100" s="24">
        <v>247.9</v>
      </c>
      <c r="K100" s="24">
        <v>237.1</v>
      </c>
      <c r="L100" s="24">
        <v>267.89999999999998</v>
      </c>
      <c r="M100" s="24">
        <v>413.5</v>
      </c>
      <c r="N100" s="24">
        <v>491.2</v>
      </c>
      <c r="O100" s="24">
        <v>707.1</v>
      </c>
      <c r="P100" s="24">
        <v>894.6</v>
      </c>
      <c r="Q100" s="24">
        <v>881.5</v>
      </c>
      <c r="R100" s="24">
        <v>1100</v>
      </c>
      <c r="S100" s="24">
        <v>1281.5</v>
      </c>
      <c r="T100" s="24">
        <v>1241.0999999999999</v>
      </c>
      <c r="U100" s="24">
        <v>1607.6</v>
      </c>
      <c r="V100" s="24">
        <v>2052.4</v>
      </c>
      <c r="W100" s="24">
        <v>2369.1999999999998</v>
      </c>
      <c r="X100" s="24">
        <v>1893.7</v>
      </c>
      <c r="Y100" s="24">
        <v>2015.4</v>
      </c>
      <c r="Z100" s="24">
        <v>2290.3000000000002</v>
      </c>
      <c r="AA100" s="24">
        <v>2206.9</v>
      </c>
      <c r="AB100" s="24">
        <v>2230</v>
      </c>
      <c r="AC100" s="24">
        <v>2260</v>
      </c>
      <c r="AD100" s="24">
        <v>2301</v>
      </c>
      <c r="AE100" s="24">
        <v>2370</v>
      </c>
      <c r="AF100" s="24">
        <v>2328</v>
      </c>
      <c r="AG100" s="24">
        <v>1832</v>
      </c>
      <c r="AH100" s="24">
        <v>1253</v>
      </c>
      <c r="AI100" s="24">
        <v>1497</v>
      </c>
      <c r="AJ100" s="24">
        <v>1997</v>
      </c>
      <c r="AK100" s="24">
        <v>2608</v>
      </c>
      <c r="AL100" s="24">
        <v>3125</v>
      </c>
      <c r="AM100" s="24">
        <v>3774</v>
      </c>
      <c r="AN100" s="24">
        <v>3840</v>
      </c>
      <c r="AO100" s="24">
        <v>3892</v>
      </c>
      <c r="AP100" s="24">
        <v>3861</v>
      </c>
      <c r="AQ100" s="24">
        <v>4667</v>
      </c>
      <c r="AR100" s="24">
        <v>4050</v>
      </c>
      <c r="AS100" s="24">
        <v>2819</v>
      </c>
      <c r="AT100" s="24">
        <v>2557</v>
      </c>
      <c r="AU100" s="24">
        <v>3246</v>
      </c>
      <c r="AV100" s="24">
        <v>2695</v>
      </c>
      <c r="AW100" s="24">
        <v>2778</v>
      </c>
      <c r="AX100" s="24">
        <v>2861</v>
      </c>
      <c r="AY100" s="24">
        <v>3072</v>
      </c>
      <c r="AZ100" s="24">
        <v>2912</v>
      </c>
      <c r="BA100" s="24">
        <v>3130</v>
      </c>
      <c r="BB100" s="24">
        <v>3286</v>
      </c>
      <c r="BC100" s="24">
        <v>4075</v>
      </c>
      <c r="BD100" s="24">
        <v>4496</v>
      </c>
      <c r="BE100" s="24">
        <v>4925</v>
      </c>
      <c r="BF100" s="24">
        <v>5348.72024297998</v>
      </c>
      <c r="BG100" s="24">
        <v>5822</v>
      </c>
      <c r="BH100" s="24">
        <v>5747</v>
      </c>
      <c r="BI100" s="24">
        <v>5879</v>
      </c>
      <c r="BJ100" s="24">
        <v>6540.2121438000004</v>
      </c>
      <c r="BK100" s="24">
        <v>6688.5912854099997</v>
      </c>
      <c r="BL100" s="24">
        <v>6622</v>
      </c>
      <c r="BM100" s="24">
        <v>7518</v>
      </c>
      <c r="BN100" s="24">
        <v>8183</v>
      </c>
      <c r="BO100" s="24">
        <v>8757</v>
      </c>
      <c r="BP100" s="24">
        <v>8768.3406854599998</v>
      </c>
      <c r="BQ100" s="24">
        <v>8928</v>
      </c>
      <c r="BR100" s="24">
        <v>9514.5441704100012</v>
      </c>
      <c r="BS100" s="24">
        <v>9786</v>
      </c>
      <c r="BT100" s="24">
        <v>9886.1090000000004</v>
      </c>
      <c r="BU100" s="24">
        <v>10139.359521</v>
      </c>
      <c r="BV100" s="24">
        <v>10350.32</v>
      </c>
      <c r="BW100" s="25">
        <v>11096.902404959999</v>
      </c>
      <c r="BX100" s="25">
        <v>11344.797309379999</v>
      </c>
      <c r="BY100" s="25">
        <v>11992.04185831</v>
      </c>
      <c r="BZ100" s="24">
        <v>13115.988547999999</v>
      </c>
      <c r="CA100" s="24">
        <v>12672.117849550001</v>
      </c>
      <c r="CB100" s="24">
        <v>14009.43246226</v>
      </c>
      <c r="CC100" s="24">
        <v>15117.98906521</v>
      </c>
      <c r="CD100" s="24">
        <v>16298.1547474</v>
      </c>
      <c r="CE100" s="24">
        <v>17427.175150679999</v>
      </c>
      <c r="CF100" s="24">
        <v>18489.377807389999</v>
      </c>
      <c r="CG100" s="24">
        <v>19326.775305840001</v>
      </c>
      <c r="CH100" s="24">
        <v>20309.693470040002</v>
      </c>
      <c r="CI100" s="24">
        <v>21110.083923099999</v>
      </c>
      <c r="CJ100" s="24">
        <v>20998.310174530001</v>
      </c>
      <c r="CK100" s="24">
        <v>20162.176279020001</v>
      </c>
      <c r="CL100" s="24">
        <v>19268.670710459999</v>
      </c>
      <c r="CM100" s="24">
        <v>19898.449047260001</v>
      </c>
      <c r="CN100" s="24">
        <v>19146.323138309999</v>
      </c>
      <c r="CO100" s="24">
        <v>19505.244425699999</v>
      </c>
      <c r="CP100" s="24">
        <v>19588.605648550001</v>
      </c>
      <c r="CQ100" s="24">
        <v>20300.969187530001</v>
      </c>
      <c r="CR100" s="25">
        <v>21264.060851949998</v>
      </c>
      <c r="CS100" s="25">
        <v>22094.004400049998</v>
      </c>
      <c r="CT100" s="25">
        <v>23926.9572937216</v>
      </c>
      <c r="CU100" s="69">
        <v>24268.79549828</v>
      </c>
      <c r="CY100" s="198"/>
    </row>
    <row r="101" spans="1:103" x14ac:dyDescent="0.2">
      <c r="A101" s="23" t="s">
        <v>167</v>
      </c>
      <c r="B101" s="250"/>
      <c r="C101" s="24">
        <f t="shared" ref="C101:BA101" si="66">+C100</f>
        <v>91.8</v>
      </c>
      <c r="D101" s="24">
        <f t="shared" si="66"/>
        <v>86.5</v>
      </c>
      <c r="E101" s="24">
        <f t="shared" si="66"/>
        <v>155</v>
      </c>
      <c r="F101" s="24">
        <f t="shared" si="66"/>
        <v>214.4</v>
      </c>
      <c r="G101" s="24">
        <f t="shared" si="66"/>
        <v>281.2</v>
      </c>
      <c r="H101" s="24">
        <f t="shared" si="66"/>
        <v>191.7</v>
      </c>
      <c r="I101" s="24">
        <f t="shared" si="66"/>
        <v>179.6</v>
      </c>
      <c r="J101" s="24">
        <f t="shared" si="66"/>
        <v>247.9</v>
      </c>
      <c r="K101" s="24">
        <f t="shared" si="66"/>
        <v>237.1</v>
      </c>
      <c r="L101" s="24">
        <f t="shared" si="66"/>
        <v>267.89999999999998</v>
      </c>
      <c r="M101" s="24">
        <f t="shared" si="66"/>
        <v>413.5</v>
      </c>
      <c r="N101" s="24">
        <f t="shared" si="66"/>
        <v>491.2</v>
      </c>
      <c r="O101" s="24">
        <f t="shared" si="66"/>
        <v>707.1</v>
      </c>
      <c r="P101" s="24">
        <f t="shared" si="66"/>
        <v>894.6</v>
      </c>
      <c r="Q101" s="24">
        <f t="shared" si="66"/>
        <v>881.5</v>
      </c>
      <c r="R101" s="24">
        <f t="shared" si="66"/>
        <v>1100</v>
      </c>
      <c r="S101" s="24">
        <f t="shared" si="66"/>
        <v>1281.5</v>
      </c>
      <c r="T101" s="24">
        <f t="shared" si="66"/>
        <v>1241.0999999999999</v>
      </c>
      <c r="U101" s="24">
        <f t="shared" si="66"/>
        <v>1607.6</v>
      </c>
      <c r="V101" s="24">
        <f t="shared" si="66"/>
        <v>2052.4</v>
      </c>
      <c r="W101" s="24">
        <f t="shared" si="66"/>
        <v>2369.1999999999998</v>
      </c>
      <c r="X101" s="24">
        <f t="shared" si="66"/>
        <v>1893.7</v>
      </c>
      <c r="Y101" s="24">
        <f t="shared" si="66"/>
        <v>2015.4</v>
      </c>
      <c r="Z101" s="24">
        <f t="shared" si="66"/>
        <v>2290.3000000000002</v>
      </c>
      <c r="AA101" s="24">
        <f t="shared" si="66"/>
        <v>2206.9</v>
      </c>
      <c r="AB101" s="24">
        <f t="shared" si="66"/>
        <v>2230</v>
      </c>
      <c r="AC101" s="24">
        <f t="shared" si="66"/>
        <v>2260</v>
      </c>
      <c r="AD101" s="24">
        <f t="shared" si="66"/>
        <v>2301</v>
      </c>
      <c r="AE101" s="24">
        <f t="shared" si="66"/>
        <v>2370</v>
      </c>
      <c r="AF101" s="24">
        <f t="shared" si="66"/>
        <v>2328</v>
      </c>
      <c r="AG101" s="24">
        <f t="shared" si="66"/>
        <v>1832</v>
      </c>
      <c r="AH101" s="24">
        <f t="shared" si="66"/>
        <v>1253</v>
      </c>
      <c r="AI101" s="24">
        <f t="shared" si="66"/>
        <v>1497</v>
      </c>
      <c r="AJ101" s="24">
        <f t="shared" si="66"/>
        <v>1997</v>
      </c>
      <c r="AK101" s="24">
        <f t="shared" si="66"/>
        <v>2608</v>
      </c>
      <c r="AL101" s="24">
        <f t="shared" si="66"/>
        <v>3125</v>
      </c>
      <c r="AM101" s="24">
        <f t="shared" si="66"/>
        <v>3774</v>
      </c>
      <c r="AN101" s="24">
        <f t="shared" si="66"/>
        <v>3840</v>
      </c>
      <c r="AO101" s="24">
        <f t="shared" si="66"/>
        <v>3892</v>
      </c>
      <c r="AP101" s="24">
        <f t="shared" si="66"/>
        <v>3861</v>
      </c>
      <c r="AQ101" s="24">
        <f t="shared" si="66"/>
        <v>4667</v>
      </c>
      <c r="AR101" s="24">
        <f t="shared" si="66"/>
        <v>4050</v>
      </c>
      <c r="AS101" s="24">
        <f t="shared" si="66"/>
        <v>2819</v>
      </c>
      <c r="AT101" s="24">
        <f t="shared" si="66"/>
        <v>2557</v>
      </c>
      <c r="AU101" s="24">
        <f t="shared" si="66"/>
        <v>3246</v>
      </c>
      <c r="AV101" s="24">
        <f t="shared" si="66"/>
        <v>2695</v>
      </c>
      <c r="AW101" s="24">
        <f t="shared" si="66"/>
        <v>2778</v>
      </c>
      <c r="AX101" s="24">
        <f t="shared" si="66"/>
        <v>2861</v>
      </c>
      <c r="AY101" s="24">
        <f t="shared" si="66"/>
        <v>3072</v>
      </c>
      <c r="AZ101" s="24">
        <f t="shared" si="66"/>
        <v>2912</v>
      </c>
      <c r="BA101" s="24">
        <f t="shared" si="66"/>
        <v>3130</v>
      </c>
      <c r="BB101" s="24">
        <f t="shared" ref="BB101:BR101" si="67">+BB100-BB102</f>
        <v>3192</v>
      </c>
      <c r="BC101" s="24">
        <f t="shared" si="67"/>
        <v>3318</v>
      </c>
      <c r="BD101" s="24">
        <f t="shared" si="67"/>
        <v>3301</v>
      </c>
      <c r="BE101" s="24">
        <f t="shared" si="67"/>
        <v>3436</v>
      </c>
      <c r="BF101" s="24">
        <f t="shared" si="67"/>
        <v>3334.72024297998</v>
      </c>
      <c r="BG101" s="24">
        <f t="shared" si="67"/>
        <v>3536</v>
      </c>
      <c r="BH101" s="24">
        <f t="shared" si="67"/>
        <v>3389</v>
      </c>
      <c r="BI101" s="24">
        <f t="shared" si="67"/>
        <v>3399.7460775800005</v>
      </c>
      <c r="BJ101" s="24">
        <f t="shared" si="67"/>
        <v>3821.5083425100011</v>
      </c>
      <c r="BK101" s="24">
        <f t="shared" si="67"/>
        <v>3803.5912854099997</v>
      </c>
      <c r="BL101" s="24">
        <f t="shared" si="67"/>
        <v>3599</v>
      </c>
      <c r="BM101" s="24">
        <f t="shared" si="67"/>
        <v>3922</v>
      </c>
      <c r="BN101" s="24">
        <f t="shared" si="67"/>
        <v>4127</v>
      </c>
      <c r="BO101" s="24">
        <f t="shared" si="67"/>
        <v>4293.5203155400022</v>
      </c>
      <c r="BP101" s="24">
        <f t="shared" si="67"/>
        <v>4112.1338547799987</v>
      </c>
      <c r="BQ101" s="24">
        <f t="shared" si="67"/>
        <v>3934</v>
      </c>
      <c r="BR101" s="24">
        <f t="shared" si="67"/>
        <v>4230.8201392299952</v>
      </c>
      <c r="BS101" s="24">
        <v>4302</v>
      </c>
      <c r="BT101" s="24">
        <v>4234.5159999999996</v>
      </c>
      <c r="BU101" s="24">
        <v>4379.2138954800002</v>
      </c>
      <c r="BV101" s="24">
        <v>4366.6200050699999</v>
      </c>
      <c r="BW101" s="25">
        <v>4812.6362185400003</v>
      </c>
      <c r="BX101" s="25">
        <v>4603.5959735799997</v>
      </c>
      <c r="BY101" s="25">
        <v>4776.5122921100001</v>
      </c>
      <c r="BZ101" s="24">
        <v>5164.35258213</v>
      </c>
      <c r="CA101" s="24">
        <v>4285.0624829099997</v>
      </c>
      <c r="CB101" s="24">
        <v>5369.83114897</v>
      </c>
      <c r="CC101" s="24">
        <v>6284.8803080399803</v>
      </c>
      <c r="CD101" s="24">
        <v>6973.92203865999</v>
      </c>
      <c r="CE101" s="24">
        <v>7825.9173869599999</v>
      </c>
      <c r="CF101" s="24">
        <v>8726.8018378500001</v>
      </c>
      <c r="CG101" s="24">
        <v>9383.4231004400008</v>
      </c>
      <c r="CH101" s="24">
        <v>10080.88295791</v>
      </c>
      <c r="CI101" s="24">
        <v>10366.694107109999</v>
      </c>
      <c r="CJ101" s="24">
        <v>9954.1862292200003</v>
      </c>
      <c r="CK101" s="24">
        <v>8972.6631335600996</v>
      </c>
      <c r="CL101" s="24">
        <v>8041.0756203999999</v>
      </c>
      <c r="CM101" s="24">
        <v>8498.3952542999996</v>
      </c>
      <c r="CN101" s="24">
        <v>7901.8614578799998</v>
      </c>
      <c r="CO101" s="24">
        <v>8119.7991371900998</v>
      </c>
      <c r="CP101" s="24">
        <v>8098.6681748000201</v>
      </c>
      <c r="CQ101" s="24">
        <v>8740.3611870900022</v>
      </c>
      <c r="CR101" s="25">
        <v>9512.7783533099991</v>
      </c>
      <c r="CS101" s="25">
        <v>9670.0436001900307</v>
      </c>
      <c r="CT101" s="25">
        <v>10654.554592721601</v>
      </c>
      <c r="CU101" s="69">
        <v>10601.0087511</v>
      </c>
      <c r="CY101" s="198"/>
    </row>
    <row r="102" spans="1:103" x14ac:dyDescent="0.2">
      <c r="A102" s="23" t="s">
        <v>227</v>
      </c>
      <c r="B102" s="250"/>
      <c r="C102" s="24" t="s">
        <v>49</v>
      </c>
      <c r="D102" s="24" t="s">
        <v>49</v>
      </c>
      <c r="E102" s="24" t="s">
        <v>49</v>
      </c>
      <c r="F102" s="24" t="s">
        <v>49</v>
      </c>
      <c r="G102" s="24" t="s">
        <v>49</v>
      </c>
      <c r="H102" s="24" t="s">
        <v>49</v>
      </c>
      <c r="I102" s="24" t="s">
        <v>49</v>
      </c>
      <c r="J102" s="24" t="s">
        <v>49</v>
      </c>
      <c r="K102" s="24" t="s">
        <v>49</v>
      </c>
      <c r="L102" s="24" t="s">
        <v>49</v>
      </c>
      <c r="M102" s="24" t="s">
        <v>49</v>
      </c>
      <c r="N102" s="24" t="s">
        <v>49</v>
      </c>
      <c r="O102" s="24" t="s">
        <v>49</v>
      </c>
      <c r="P102" s="24" t="s">
        <v>49</v>
      </c>
      <c r="Q102" s="24" t="s">
        <v>49</v>
      </c>
      <c r="R102" s="24" t="s">
        <v>49</v>
      </c>
      <c r="S102" s="24" t="s">
        <v>49</v>
      </c>
      <c r="T102" s="24" t="s">
        <v>49</v>
      </c>
      <c r="U102" s="24" t="s">
        <v>49</v>
      </c>
      <c r="V102" s="24" t="s">
        <v>49</v>
      </c>
      <c r="W102" s="24" t="s">
        <v>49</v>
      </c>
      <c r="X102" s="24" t="s">
        <v>49</v>
      </c>
      <c r="Y102" s="24" t="s">
        <v>49</v>
      </c>
      <c r="Z102" s="24" t="s">
        <v>49</v>
      </c>
      <c r="AA102" s="24" t="s">
        <v>49</v>
      </c>
      <c r="AB102" s="24" t="s">
        <v>49</v>
      </c>
      <c r="AC102" s="24" t="s">
        <v>49</v>
      </c>
      <c r="AD102" s="24" t="s">
        <v>49</v>
      </c>
      <c r="AE102" s="24" t="s">
        <v>49</v>
      </c>
      <c r="AF102" s="24" t="s">
        <v>49</v>
      </c>
      <c r="AG102" s="24" t="s">
        <v>49</v>
      </c>
      <c r="AH102" s="24" t="s">
        <v>49</v>
      </c>
      <c r="AI102" s="24" t="s">
        <v>49</v>
      </c>
      <c r="AJ102" s="24" t="s">
        <v>49</v>
      </c>
      <c r="AK102" s="24" t="s">
        <v>49</v>
      </c>
      <c r="AL102" s="24" t="s">
        <v>49</v>
      </c>
      <c r="AM102" s="24" t="s">
        <v>49</v>
      </c>
      <c r="AN102" s="24" t="s">
        <v>49</v>
      </c>
      <c r="AO102" s="24" t="s">
        <v>49</v>
      </c>
      <c r="AP102" s="24" t="s">
        <v>49</v>
      </c>
      <c r="AQ102" s="24" t="s">
        <v>49</v>
      </c>
      <c r="AR102" s="24" t="s">
        <v>49</v>
      </c>
      <c r="AS102" s="24" t="s">
        <v>49</v>
      </c>
      <c r="AT102" s="24" t="s">
        <v>49</v>
      </c>
      <c r="AU102" s="24" t="s">
        <v>49</v>
      </c>
      <c r="AV102" s="24" t="s">
        <v>49</v>
      </c>
      <c r="AW102" s="24" t="s">
        <v>49</v>
      </c>
      <c r="AX102" s="24" t="s">
        <v>49</v>
      </c>
      <c r="AY102" s="24" t="s">
        <v>49</v>
      </c>
      <c r="AZ102" s="24" t="s">
        <v>49</v>
      </c>
      <c r="BA102" s="24" t="s">
        <v>49</v>
      </c>
      <c r="BB102" s="24">
        <v>94</v>
      </c>
      <c r="BC102" s="24">
        <v>757</v>
      </c>
      <c r="BD102" s="24">
        <v>1195</v>
      </c>
      <c r="BE102" s="24">
        <v>1489</v>
      </c>
      <c r="BF102" s="24">
        <v>2014</v>
      </c>
      <c r="BG102" s="24">
        <v>2286</v>
      </c>
      <c r="BH102" s="24">
        <v>2358</v>
      </c>
      <c r="BI102" s="24">
        <v>2479.2539224199995</v>
      </c>
      <c r="BJ102" s="24">
        <v>2718.7038012899993</v>
      </c>
      <c r="BK102" s="24">
        <v>2885</v>
      </c>
      <c r="BL102" s="24">
        <v>3023</v>
      </c>
      <c r="BM102" s="24">
        <v>3596</v>
      </c>
      <c r="BN102" s="24">
        <v>4056</v>
      </c>
      <c r="BO102" s="24">
        <v>4463.4796844599978</v>
      </c>
      <c r="BP102" s="24">
        <v>4656.2068306800011</v>
      </c>
      <c r="BQ102" s="24">
        <v>4994</v>
      </c>
      <c r="BR102" s="24">
        <v>5283.724031180006</v>
      </c>
      <c r="BS102" s="24">
        <v>5484</v>
      </c>
      <c r="BT102" s="24">
        <v>5652</v>
      </c>
      <c r="BU102" s="24">
        <v>5760</v>
      </c>
      <c r="BV102" s="24">
        <v>5983.6999949299998</v>
      </c>
      <c r="BW102" s="25">
        <v>6284.2661864199999</v>
      </c>
      <c r="BX102" s="25">
        <v>6741.2013358000004</v>
      </c>
      <c r="BY102" s="25">
        <v>7215.5295661999999</v>
      </c>
      <c r="BZ102" s="24">
        <v>7951.6359658700003</v>
      </c>
      <c r="CA102" s="24">
        <v>8387.0553666399992</v>
      </c>
      <c r="CB102" s="24">
        <v>8639.6013132900007</v>
      </c>
      <c r="CC102" s="24">
        <v>8833.10875717001</v>
      </c>
      <c r="CD102" s="24">
        <v>9324.2327087400099</v>
      </c>
      <c r="CE102" s="24">
        <v>9601.2577637199993</v>
      </c>
      <c r="CF102" s="24">
        <v>9762.5759695399993</v>
      </c>
      <c r="CG102" s="24">
        <v>9943.3522054000005</v>
      </c>
      <c r="CH102" s="24">
        <v>10228.81051213</v>
      </c>
      <c r="CI102" s="24">
        <v>10743.38981599</v>
      </c>
      <c r="CJ102" s="24">
        <v>11044.123945310001</v>
      </c>
      <c r="CK102" s="24">
        <v>11189.5131454599</v>
      </c>
      <c r="CL102" s="24">
        <v>11227.59509006</v>
      </c>
      <c r="CM102" s="24">
        <v>11400.05379296</v>
      </c>
      <c r="CN102" s="24">
        <v>11244.46168043</v>
      </c>
      <c r="CO102" s="24">
        <v>11385.4452885099</v>
      </c>
      <c r="CP102" s="24">
        <v>11489.93747375</v>
      </c>
      <c r="CQ102" s="24">
        <v>11560.608000439999</v>
      </c>
      <c r="CR102" s="25">
        <v>11751.282498639999</v>
      </c>
      <c r="CS102" s="25">
        <v>12423.96079986</v>
      </c>
      <c r="CT102" s="25">
        <v>13272.402701000001</v>
      </c>
      <c r="CU102" s="69">
        <v>13667.78674718</v>
      </c>
      <c r="CY102" s="198"/>
    </row>
    <row r="103" spans="1:103" x14ac:dyDescent="0.2">
      <c r="A103" s="23" t="s">
        <v>166</v>
      </c>
      <c r="B103" s="250"/>
      <c r="C103" s="24" t="s">
        <v>49</v>
      </c>
      <c r="D103" s="24" t="s">
        <v>49</v>
      </c>
      <c r="E103" s="24" t="s">
        <v>49</v>
      </c>
      <c r="F103" s="24" t="s">
        <v>49</v>
      </c>
      <c r="G103" s="24" t="s">
        <v>49</v>
      </c>
      <c r="H103" s="24" t="s">
        <v>49</v>
      </c>
      <c r="I103" s="24" t="s">
        <v>49</v>
      </c>
      <c r="J103" s="24" t="s">
        <v>49</v>
      </c>
      <c r="K103" s="24" t="s">
        <v>49</v>
      </c>
      <c r="L103" s="24" t="s">
        <v>49</v>
      </c>
      <c r="M103" s="24" t="s">
        <v>49</v>
      </c>
      <c r="N103" s="24" t="s">
        <v>49</v>
      </c>
      <c r="O103" s="24" t="s">
        <v>49</v>
      </c>
      <c r="P103" s="24" t="s">
        <v>49</v>
      </c>
      <c r="Q103" s="24" t="s">
        <v>49</v>
      </c>
      <c r="R103" s="24" t="s">
        <v>49</v>
      </c>
      <c r="S103" s="24" t="s">
        <v>49</v>
      </c>
      <c r="T103" s="24" t="s">
        <v>49</v>
      </c>
      <c r="U103" s="24" t="s">
        <v>49</v>
      </c>
      <c r="V103" s="24" t="s">
        <v>49</v>
      </c>
      <c r="W103" s="24" t="s">
        <v>49</v>
      </c>
      <c r="X103" s="24" t="s">
        <v>49</v>
      </c>
      <c r="Y103" s="24" t="s">
        <v>49</v>
      </c>
      <c r="Z103" s="24" t="s">
        <v>49</v>
      </c>
      <c r="AA103" s="24" t="s">
        <v>49</v>
      </c>
      <c r="AB103" s="24" t="s">
        <v>49</v>
      </c>
      <c r="AC103" s="24" t="s">
        <v>49</v>
      </c>
      <c r="AD103" s="24" t="s">
        <v>49</v>
      </c>
      <c r="AE103" s="24" t="s">
        <v>49</v>
      </c>
      <c r="AF103" s="24" t="s">
        <v>49</v>
      </c>
      <c r="AG103" s="24" t="s">
        <v>49</v>
      </c>
      <c r="AH103" s="24" t="s">
        <v>49</v>
      </c>
      <c r="AI103" s="24" t="s">
        <v>49</v>
      </c>
      <c r="AJ103" s="24" t="s">
        <v>49</v>
      </c>
      <c r="AK103" s="24" t="s">
        <v>49</v>
      </c>
      <c r="AL103" s="24" t="s">
        <v>49</v>
      </c>
      <c r="AM103" s="24" t="s">
        <v>49</v>
      </c>
      <c r="AN103" s="24" t="s">
        <v>49</v>
      </c>
      <c r="AO103" s="24" t="s">
        <v>49</v>
      </c>
      <c r="AP103" s="24" t="s">
        <v>49</v>
      </c>
      <c r="AQ103" s="24" t="s">
        <v>49</v>
      </c>
      <c r="AR103" s="24" t="s">
        <v>49</v>
      </c>
      <c r="AS103" s="24" t="s">
        <v>49</v>
      </c>
      <c r="AT103" s="24" t="s">
        <v>49</v>
      </c>
      <c r="AU103" s="24" t="s">
        <v>49</v>
      </c>
      <c r="AV103" s="24" t="s">
        <v>49</v>
      </c>
      <c r="AW103" s="24" t="s">
        <v>49</v>
      </c>
      <c r="AX103" s="24" t="s">
        <v>49</v>
      </c>
      <c r="AY103" s="24" t="s">
        <v>49</v>
      </c>
      <c r="AZ103" s="24" t="s">
        <v>49</v>
      </c>
      <c r="BA103" s="24" t="s">
        <v>49</v>
      </c>
      <c r="BB103" s="24" t="s">
        <v>49</v>
      </c>
      <c r="BC103" s="24" t="s">
        <v>49</v>
      </c>
      <c r="BD103" s="24" t="s">
        <v>49</v>
      </c>
      <c r="BE103" s="24" t="s">
        <v>49</v>
      </c>
      <c r="BF103" s="24" t="s">
        <v>49</v>
      </c>
      <c r="BG103" s="24" t="s">
        <v>49</v>
      </c>
      <c r="BH103" s="24" t="s">
        <v>49</v>
      </c>
      <c r="BI103" s="24" t="s">
        <v>49</v>
      </c>
      <c r="BJ103" s="24" t="s">
        <v>49</v>
      </c>
      <c r="BK103" s="24" t="s">
        <v>49</v>
      </c>
      <c r="BL103" s="24" t="s">
        <v>49</v>
      </c>
      <c r="BM103" s="24" t="s">
        <v>49</v>
      </c>
      <c r="BN103" s="24" t="s">
        <v>49</v>
      </c>
      <c r="BO103" s="24" t="s">
        <v>49</v>
      </c>
      <c r="BP103" s="24" t="s">
        <v>49</v>
      </c>
      <c r="BQ103" s="24" t="s">
        <v>49</v>
      </c>
      <c r="BR103" s="24" t="s">
        <v>49</v>
      </c>
      <c r="BS103" s="24">
        <v>630</v>
      </c>
      <c r="BT103" s="24">
        <v>2016</v>
      </c>
      <c r="BU103" s="24">
        <v>2885.3141879999998</v>
      </c>
      <c r="BV103" s="24">
        <v>4209.5469830000002</v>
      </c>
      <c r="BW103" s="25">
        <v>7049.510663</v>
      </c>
      <c r="BX103" s="25">
        <v>7892.1289189999998</v>
      </c>
      <c r="BY103" s="25">
        <v>9201.4569260000007</v>
      </c>
      <c r="BZ103" s="24">
        <v>9843.8792489999996</v>
      </c>
      <c r="CA103" s="24">
        <v>10419.189439</v>
      </c>
      <c r="CB103" s="24">
        <v>11178.333452999999</v>
      </c>
      <c r="CC103" s="24">
        <v>12191.346045</v>
      </c>
      <c r="CD103" s="24">
        <v>13556.053301</v>
      </c>
      <c r="CE103" s="24">
        <v>15461.631775</v>
      </c>
      <c r="CF103" s="24">
        <v>17181.179996999999</v>
      </c>
      <c r="CG103" s="24">
        <v>17970.870171999999</v>
      </c>
      <c r="CH103" s="24">
        <v>19825.475690999901</v>
      </c>
      <c r="CI103" s="24">
        <v>21741.805372999999</v>
      </c>
      <c r="CJ103" s="24">
        <v>23179.434213</v>
      </c>
      <c r="CK103" s="24">
        <v>23296.112912000001</v>
      </c>
      <c r="CL103" s="24">
        <v>24103.693361000001</v>
      </c>
      <c r="CM103" s="24">
        <v>23286.858326000001</v>
      </c>
      <c r="CN103" s="24">
        <v>22214.115786999999</v>
      </c>
      <c r="CO103" s="24">
        <v>21269.317692000001</v>
      </c>
      <c r="CP103" s="24">
        <v>20348.778925999999</v>
      </c>
      <c r="CQ103" s="24">
        <v>19635.001089000001</v>
      </c>
      <c r="CR103" s="25">
        <v>19429.64446</v>
      </c>
      <c r="CS103" s="25">
        <v>19509.421515999999</v>
      </c>
      <c r="CT103" s="25">
        <v>21215.129409000001</v>
      </c>
      <c r="CU103" s="69">
        <v>21992.306346000001</v>
      </c>
      <c r="CY103" s="198"/>
    </row>
    <row r="104" spans="1:103" x14ac:dyDescent="0.2">
      <c r="A104" s="27" t="s">
        <v>195</v>
      </c>
      <c r="B104" s="279"/>
      <c r="C104" s="28">
        <f t="shared" ref="C104:BN104" si="68">SUM(C100,C103)</f>
        <v>91.8</v>
      </c>
      <c r="D104" s="28">
        <f t="shared" si="68"/>
        <v>86.5</v>
      </c>
      <c r="E104" s="28">
        <f t="shared" si="68"/>
        <v>155</v>
      </c>
      <c r="F104" s="28">
        <f t="shared" si="68"/>
        <v>214.4</v>
      </c>
      <c r="G104" s="28">
        <f t="shared" si="68"/>
        <v>281.2</v>
      </c>
      <c r="H104" s="28">
        <f t="shared" si="68"/>
        <v>191.7</v>
      </c>
      <c r="I104" s="28">
        <f t="shared" si="68"/>
        <v>179.6</v>
      </c>
      <c r="J104" s="28">
        <f t="shared" si="68"/>
        <v>247.9</v>
      </c>
      <c r="K104" s="28">
        <f t="shared" si="68"/>
        <v>237.1</v>
      </c>
      <c r="L104" s="28">
        <f t="shared" si="68"/>
        <v>267.89999999999998</v>
      </c>
      <c r="M104" s="28">
        <f t="shared" si="68"/>
        <v>413.5</v>
      </c>
      <c r="N104" s="28">
        <f t="shared" si="68"/>
        <v>491.2</v>
      </c>
      <c r="O104" s="28">
        <f t="shared" si="68"/>
        <v>707.1</v>
      </c>
      <c r="P104" s="28">
        <f t="shared" si="68"/>
        <v>894.6</v>
      </c>
      <c r="Q104" s="28">
        <f t="shared" si="68"/>
        <v>881.5</v>
      </c>
      <c r="R104" s="28">
        <f t="shared" si="68"/>
        <v>1100</v>
      </c>
      <c r="S104" s="28">
        <f t="shared" si="68"/>
        <v>1281.5</v>
      </c>
      <c r="T104" s="28">
        <f t="shared" si="68"/>
        <v>1241.0999999999999</v>
      </c>
      <c r="U104" s="28">
        <f t="shared" si="68"/>
        <v>1607.6</v>
      </c>
      <c r="V104" s="28">
        <f t="shared" si="68"/>
        <v>2052.4</v>
      </c>
      <c r="W104" s="28">
        <f t="shared" si="68"/>
        <v>2369.1999999999998</v>
      </c>
      <c r="X104" s="28">
        <f t="shared" si="68"/>
        <v>1893.7</v>
      </c>
      <c r="Y104" s="28">
        <f t="shared" si="68"/>
        <v>2015.4</v>
      </c>
      <c r="Z104" s="28">
        <f t="shared" si="68"/>
        <v>2290.3000000000002</v>
      </c>
      <c r="AA104" s="28">
        <f t="shared" si="68"/>
        <v>2206.9</v>
      </c>
      <c r="AB104" s="28">
        <f t="shared" si="68"/>
        <v>2230</v>
      </c>
      <c r="AC104" s="28">
        <f t="shared" si="68"/>
        <v>2260</v>
      </c>
      <c r="AD104" s="28">
        <f t="shared" si="68"/>
        <v>2301</v>
      </c>
      <c r="AE104" s="28">
        <f t="shared" si="68"/>
        <v>2370</v>
      </c>
      <c r="AF104" s="28">
        <f t="shared" si="68"/>
        <v>2328</v>
      </c>
      <c r="AG104" s="28">
        <f t="shared" si="68"/>
        <v>1832</v>
      </c>
      <c r="AH104" s="28">
        <f t="shared" si="68"/>
        <v>1253</v>
      </c>
      <c r="AI104" s="28">
        <f t="shared" si="68"/>
        <v>1497</v>
      </c>
      <c r="AJ104" s="28">
        <f t="shared" si="68"/>
        <v>1997</v>
      </c>
      <c r="AK104" s="28">
        <f t="shared" si="68"/>
        <v>2608</v>
      </c>
      <c r="AL104" s="28">
        <f t="shared" si="68"/>
        <v>3125</v>
      </c>
      <c r="AM104" s="28">
        <f t="shared" si="68"/>
        <v>3774</v>
      </c>
      <c r="AN104" s="28">
        <f t="shared" si="68"/>
        <v>3840</v>
      </c>
      <c r="AO104" s="28">
        <f t="shared" si="68"/>
        <v>3892</v>
      </c>
      <c r="AP104" s="28">
        <f t="shared" si="68"/>
        <v>3861</v>
      </c>
      <c r="AQ104" s="28">
        <f t="shared" si="68"/>
        <v>4667</v>
      </c>
      <c r="AR104" s="28">
        <f t="shared" si="68"/>
        <v>4050</v>
      </c>
      <c r="AS104" s="28">
        <f t="shared" si="68"/>
        <v>2819</v>
      </c>
      <c r="AT104" s="28">
        <f t="shared" si="68"/>
        <v>2557</v>
      </c>
      <c r="AU104" s="28">
        <f t="shared" si="68"/>
        <v>3246</v>
      </c>
      <c r="AV104" s="28">
        <f t="shared" si="68"/>
        <v>2695</v>
      </c>
      <c r="AW104" s="28">
        <f t="shared" si="68"/>
        <v>2778</v>
      </c>
      <c r="AX104" s="28">
        <f t="shared" si="68"/>
        <v>2861</v>
      </c>
      <c r="AY104" s="28">
        <f t="shared" si="68"/>
        <v>3072</v>
      </c>
      <c r="AZ104" s="28">
        <f t="shared" si="68"/>
        <v>2912</v>
      </c>
      <c r="BA104" s="28">
        <f t="shared" si="68"/>
        <v>3130</v>
      </c>
      <c r="BB104" s="28">
        <f t="shared" si="68"/>
        <v>3286</v>
      </c>
      <c r="BC104" s="28">
        <f t="shared" si="68"/>
        <v>4075</v>
      </c>
      <c r="BD104" s="28">
        <f t="shared" si="68"/>
        <v>4496</v>
      </c>
      <c r="BE104" s="28">
        <f t="shared" si="68"/>
        <v>4925</v>
      </c>
      <c r="BF104" s="28">
        <f t="shared" si="68"/>
        <v>5348.72024297998</v>
      </c>
      <c r="BG104" s="28">
        <f t="shared" si="68"/>
        <v>5822</v>
      </c>
      <c r="BH104" s="28">
        <f t="shared" si="68"/>
        <v>5747</v>
      </c>
      <c r="BI104" s="28">
        <f t="shared" si="68"/>
        <v>5879</v>
      </c>
      <c r="BJ104" s="28">
        <f t="shared" si="68"/>
        <v>6540.2121438000004</v>
      </c>
      <c r="BK104" s="28">
        <f t="shared" si="68"/>
        <v>6688.5912854099997</v>
      </c>
      <c r="BL104" s="28">
        <f t="shared" si="68"/>
        <v>6622</v>
      </c>
      <c r="BM104" s="28">
        <f t="shared" si="68"/>
        <v>7518</v>
      </c>
      <c r="BN104" s="28">
        <f t="shared" si="68"/>
        <v>8183</v>
      </c>
      <c r="BO104" s="28">
        <f t="shared" ref="BO104:CP104" si="69">SUM(BO100,BO103)</f>
        <v>8757</v>
      </c>
      <c r="BP104" s="28">
        <f t="shared" si="69"/>
        <v>8768.3406854599998</v>
      </c>
      <c r="BQ104" s="28">
        <f t="shared" si="69"/>
        <v>8928</v>
      </c>
      <c r="BR104" s="28">
        <f t="shared" si="69"/>
        <v>9514.5441704100012</v>
      </c>
      <c r="BS104" s="28">
        <f t="shared" si="69"/>
        <v>10416</v>
      </c>
      <c r="BT104" s="28">
        <f t="shared" si="69"/>
        <v>11902.109</v>
      </c>
      <c r="BU104" s="28">
        <f t="shared" si="69"/>
        <v>13024.673709000001</v>
      </c>
      <c r="BV104" s="28">
        <f t="shared" si="69"/>
        <v>14559.866983</v>
      </c>
      <c r="BW104" s="235">
        <f t="shared" si="69"/>
        <v>18146.413067959998</v>
      </c>
      <c r="BX104" s="235">
        <f t="shared" si="69"/>
        <v>19236.926228379998</v>
      </c>
      <c r="BY104" s="235">
        <f t="shared" si="69"/>
        <v>21193.498784310003</v>
      </c>
      <c r="BZ104" s="28">
        <f t="shared" si="69"/>
        <v>22959.867796999999</v>
      </c>
      <c r="CA104" s="28">
        <f t="shared" si="69"/>
        <v>23091.307288550001</v>
      </c>
      <c r="CB104" s="28">
        <f t="shared" si="69"/>
        <v>25187.765915259999</v>
      </c>
      <c r="CC104" s="28">
        <f t="shared" si="69"/>
        <v>27309.335110209999</v>
      </c>
      <c r="CD104" s="28">
        <f t="shared" si="69"/>
        <v>29854.2080484</v>
      </c>
      <c r="CE104" s="28">
        <f t="shared" si="69"/>
        <v>32888.806925680001</v>
      </c>
      <c r="CF104" s="28">
        <f t="shared" si="69"/>
        <v>35670.557804390002</v>
      </c>
      <c r="CG104" s="28">
        <f t="shared" si="69"/>
        <v>37297.64547784</v>
      </c>
      <c r="CH104" s="28">
        <f t="shared" si="69"/>
        <v>40135.169161039899</v>
      </c>
      <c r="CI104" s="28">
        <f t="shared" si="69"/>
        <v>42851.889296099995</v>
      </c>
      <c r="CJ104" s="28">
        <f t="shared" si="69"/>
        <v>44177.744387530001</v>
      </c>
      <c r="CK104" s="28">
        <f t="shared" si="69"/>
        <v>43458.289191019998</v>
      </c>
      <c r="CL104" s="28">
        <f t="shared" si="69"/>
        <v>43372.364071460004</v>
      </c>
      <c r="CM104" s="28">
        <f t="shared" si="69"/>
        <v>43185.307373260002</v>
      </c>
      <c r="CN104" s="28">
        <f t="shared" si="69"/>
        <v>41360.438925309994</v>
      </c>
      <c r="CO104" s="28">
        <f t="shared" si="69"/>
        <v>40774.562117699999</v>
      </c>
      <c r="CP104" s="28">
        <f t="shared" si="69"/>
        <v>39937.38457455</v>
      </c>
      <c r="CQ104" s="28">
        <f>SUM(CQ100,CQ103)</f>
        <v>39935.970276530003</v>
      </c>
      <c r="CR104" s="235">
        <f>SUM(CR100,CR103)</f>
        <v>40693.705311949998</v>
      </c>
      <c r="CS104" s="235">
        <f>SUM(CS100,CS103)</f>
        <v>41603.425916049993</v>
      </c>
      <c r="CT104" s="235">
        <f>SUM(CT100,CT103)</f>
        <v>45142.086702721601</v>
      </c>
      <c r="CU104" s="336">
        <f>SUM(CU100,CU103)</f>
        <v>46261.101844279998</v>
      </c>
    </row>
    <row r="105" spans="1:103" x14ac:dyDescent="0.2">
      <c r="A105" s="6"/>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5"/>
      <c r="AD105" s="15"/>
      <c r="AE105" s="15"/>
      <c r="AF105" s="15"/>
      <c r="AG105" s="15"/>
      <c r="AH105" s="15"/>
      <c r="AI105" s="15"/>
      <c r="AJ105" s="14"/>
      <c r="AK105" s="4"/>
      <c r="AL105" s="14"/>
      <c r="AM105" s="15"/>
      <c r="AN105" s="14"/>
      <c r="AO105" s="14"/>
      <c r="AP105" s="14"/>
      <c r="AQ105" s="14"/>
      <c r="AR105" s="14"/>
      <c r="AS105" s="4"/>
      <c r="AT105" s="15"/>
      <c r="AU105" s="15"/>
      <c r="AV105" s="14"/>
      <c r="AW105" s="14"/>
      <c r="AX105" s="14"/>
      <c r="AY105" s="14"/>
      <c r="AZ105" s="14"/>
      <c r="BA105" s="14"/>
      <c r="BB105" s="14"/>
      <c r="BC105" s="14"/>
      <c r="BD105" s="14"/>
      <c r="BE105" s="14"/>
      <c r="BF105" s="14"/>
      <c r="BG105" s="14"/>
      <c r="BH105" s="14"/>
      <c r="BI105" s="15"/>
      <c r="BJ105" s="14"/>
      <c r="BK105" s="14"/>
      <c r="BL105" s="14"/>
      <c r="BM105" s="14"/>
      <c r="BN105" s="14"/>
      <c r="BO105" s="14"/>
      <c r="BP105" s="4"/>
      <c r="BQ105" s="14"/>
      <c r="BR105" s="4"/>
      <c r="BS105" s="14"/>
      <c r="BT105" s="14"/>
      <c r="BU105" s="14"/>
      <c r="BV105" s="14"/>
      <c r="BW105" s="15"/>
      <c r="BX105" s="15"/>
      <c r="BY105" s="15"/>
      <c r="BZ105" s="14"/>
      <c r="CA105" s="14"/>
      <c r="CB105" s="14"/>
      <c r="CC105" s="14"/>
      <c r="CD105" s="14"/>
      <c r="CE105" s="14"/>
      <c r="CF105" s="14"/>
      <c r="CG105" s="14"/>
      <c r="CH105" s="14"/>
      <c r="CI105" s="14"/>
      <c r="CJ105" s="14"/>
      <c r="CK105" s="14"/>
      <c r="CL105" s="14"/>
      <c r="CM105" s="14"/>
      <c r="CN105" s="14"/>
      <c r="CO105" s="14"/>
      <c r="CP105" s="14"/>
      <c r="CQ105" s="14"/>
      <c r="CR105" s="15"/>
      <c r="CS105" s="15"/>
      <c r="CT105" s="15"/>
      <c r="CU105" s="17"/>
      <c r="CY105" s="198"/>
    </row>
    <row r="106" spans="1:103" x14ac:dyDescent="0.2">
      <c r="A106" s="135" t="s">
        <v>128</v>
      </c>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5"/>
      <c r="AD106" s="15"/>
      <c r="AE106" s="15"/>
      <c r="AF106" s="15"/>
      <c r="AG106" s="15"/>
      <c r="AH106" s="15"/>
      <c r="AI106" s="15"/>
      <c r="AJ106" s="14"/>
      <c r="AK106" s="4"/>
      <c r="AL106" s="14"/>
      <c r="AM106" s="15"/>
      <c r="AN106" s="14"/>
      <c r="AO106" s="14"/>
      <c r="AP106" s="14"/>
      <c r="AQ106" s="14"/>
      <c r="AR106" s="14"/>
      <c r="AS106" s="4"/>
      <c r="AT106" s="15"/>
      <c r="AU106" s="15"/>
      <c r="AV106" s="14"/>
      <c r="AW106" s="14"/>
      <c r="AX106" s="14"/>
      <c r="AY106" s="14"/>
      <c r="AZ106" s="14"/>
      <c r="BA106" s="14"/>
      <c r="BB106" s="14"/>
      <c r="BC106" s="14"/>
      <c r="BD106" s="14"/>
      <c r="BE106" s="14"/>
      <c r="BF106" s="14"/>
      <c r="BG106" s="14"/>
      <c r="BH106" s="14"/>
      <c r="BI106" s="15"/>
      <c r="BJ106" s="14"/>
      <c r="BK106" s="14"/>
      <c r="BL106" s="14"/>
      <c r="BM106" s="14"/>
      <c r="BN106" s="14"/>
      <c r="BO106" s="14"/>
      <c r="BP106" s="4"/>
      <c r="BQ106" s="14"/>
      <c r="BR106" s="4"/>
      <c r="BS106" s="14"/>
      <c r="BT106" s="14"/>
      <c r="BU106" s="14"/>
      <c r="BV106" s="14"/>
      <c r="BW106" s="15"/>
      <c r="BX106" s="15"/>
      <c r="BY106" s="15"/>
      <c r="BZ106" s="14"/>
      <c r="CA106" s="14"/>
      <c r="CB106" s="14"/>
      <c r="CC106" s="14"/>
      <c r="CD106" s="14"/>
      <c r="CE106" s="14"/>
      <c r="CF106" s="14"/>
      <c r="CG106" s="14"/>
      <c r="CH106" s="14"/>
      <c r="CI106" s="14"/>
      <c r="CJ106" s="14"/>
      <c r="CK106" s="14"/>
      <c r="CL106" s="14"/>
      <c r="CM106" s="14"/>
      <c r="CN106" s="14"/>
      <c r="CO106" s="14"/>
      <c r="CP106" s="14"/>
      <c r="CQ106" s="14"/>
      <c r="CR106" s="372"/>
      <c r="CS106" s="372"/>
      <c r="CT106" s="372"/>
      <c r="CU106" s="17"/>
      <c r="CY106" s="198"/>
    </row>
    <row r="107" spans="1:103" x14ac:dyDescent="0.2">
      <c r="A107" s="23" t="s">
        <v>222</v>
      </c>
      <c r="B107" s="280"/>
      <c r="C107" s="116">
        <f>C100/(C85)</f>
        <v>0.75617792421746288</v>
      </c>
      <c r="D107" s="116">
        <f>D100/(D85)</f>
        <v>0.47658402203856748</v>
      </c>
      <c r="E107" s="116">
        <f>E100/(E85-E87)</f>
        <v>0.24139542127394489</v>
      </c>
      <c r="F107" s="116">
        <f t="shared" ref="F107:AM107" si="70">F100/(F85-F87)</f>
        <v>0.38217468805704102</v>
      </c>
      <c r="G107" s="116">
        <f t="shared" si="70"/>
        <v>0.5558410753113262</v>
      </c>
      <c r="H107" s="116">
        <f t="shared" si="70"/>
        <v>0.3570497299310858</v>
      </c>
      <c r="I107" s="116">
        <f t="shared" si="70"/>
        <v>0.31234782608695649</v>
      </c>
      <c r="J107" s="116">
        <f t="shared" si="70"/>
        <v>0.36073923166472643</v>
      </c>
      <c r="K107" s="116">
        <f t="shared" si="70"/>
        <v>0.32359765251808376</v>
      </c>
      <c r="L107" s="116">
        <f t="shared" si="70"/>
        <v>0.30917484131563761</v>
      </c>
      <c r="M107" s="116">
        <f t="shared" si="70"/>
        <v>0.44799566630552545</v>
      </c>
      <c r="N107" s="116">
        <f t="shared" si="70"/>
        <v>0.44356149539461798</v>
      </c>
      <c r="O107" s="116">
        <f t="shared" si="70"/>
        <v>0.559768841038632</v>
      </c>
      <c r="P107" s="116">
        <f t="shared" si="70"/>
        <v>0.68794217163949556</v>
      </c>
      <c r="Q107" s="116">
        <f t="shared" si="70"/>
        <v>0.61557262569832405</v>
      </c>
      <c r="R107" s="116">
        <f t="shared" si="70"/>
        <v>0.81007437955666828</v>
      </c>
      <c r="S107" s="116">
        <f t="shared" si="70"/>
        <v>0.83154889364739482</v>
      </c>
      <c r="T107" s="116">
        <f t="shared" si="70"/>
        <v>0.55714670497396301</v>
      </c>
      <c r="U107" s="116">
        <f t="shared" si="70"/>
        <v>0.64019752299788935</v>
      </c>
      <c r="V107" s="116">
        <f t="shared" si="70"/>
        <v>0.89722404371584707</v>
      </c>
      <c r="W107" s="116">
        <f t="shared" si="70"/>
        <v>0.67679826315488756</v>
      </c>
      <c r="X107" s="116">
        <f t="shared" si="70"/>
        <v>0.41483931740016217</v>
      </c>
      <c r="Y107" s="116">
        <f t="shared" si="70"/>
        <v>0.46275716385011023</v>
      </c>
      <c r="Z107" s="116">
        <f t="shared" si="70"/>
        <v>0.50383879270519394</v>
      </c>
      <c r="AA107" s="116">
        <f t="shared" si="70"/>
        <v>0.42123647191311486</v>
      </c>
      <c r="AB107" s="116">
        <f t="shared" si="70"/>
        <v>0.37236174191824739</v>
      </c>
      <c r="AC107" s="116">
        <f t="shared" si="70"/>
        <v>0.36664503569110968</v>
      </c>
      <c r="AD107" s="116">
        <f t="shared" si="70"/>
        <v>0.36122448979591837</v>
      </c>
      <c r="AE107" s="116">
        <f t="shared" si="70"/>
        <v>0.36619283065512981</v>
      </c>
      <c r="AF107" s="116">
        <f t="shared" si="70"/>
        <v>0.34010226442658875</v>
      </c>
      <c r="AG107" s="116">
        <f t="shared" si="70"/>
        <v>0.27189076877411694</v>
      </c>
      <c r="AH107" s="116">
        <f t="shared" si="70"/>
        <v>0.17015209125475286</v>
      </c>
      <c r="AI107" s="116">
        <f t="shared" si="70"/>
        <v>0.20631201764057333</v>
      </c>
      <c r="AJ107" s="116">
        <f t="shared" si="70"/>
        <v>0.25831069719311861</v>
      </c>
      <c r="AK107" s="116">
        <f t="shared" si="70"/>
        <v>0.32640801001251563</v>
      </c>
      <c r="AL107" s="116">
        <f t="shared" si="70"/>
        <v>0.37796323173681662</v>
      </c>
      <c r="AM107" s="116">
        <f t="shared" si="70"/>
        <v>0.43975763225355397</v>
      </c>
      <c r="AN107" s="116">
        <f>AN100/(AN85-AN87)</f>
        <v>0.41671188279978294</v>
      </c>
      <c r="AO107" s="116">
        <f>AO100/(AO85-(AO86+AO87))</f>
        <v>0.40028797696184304</v>
      </c>
      <c r="AP107" s="116">
        <f t="shared" ref="AP107:CP107" si="71">AP100/(AP85-(AP86+AP87))</f>
        <v>0.38005709223348755</v>
      </c>
      <c r="AQ107" s="116">
        <f t="shared" si="71"/>
        <v>0.51976834836841523</v>
      </c>
      <c r="AR107" s="116">
        <f t="shared" si="71"/>
        <v>0.40954596015775102</v>
      </c>
      <c r="AS107" s="116">
        <f t="shared" si="71"/>
        <v>0.25702042304886946</v>
      </c>
      <c r="AT107" s="116">
        <f t="shared" si="71"/>
        <v>0.2421401515151515</v>
      </c>
      <c r="AU107" s="116">
        <f t="shared" si="71"/>
        <v>0.3430926963323116</v>
      </c>
      <c r="AV107" s="116">
        <f t="shared" si="71"/>
        <v>0.25307540614142171</v>
      </c>
      <c r="AW107" s="116">
        <f t="shared" si="71"/>
        <v>0.26116386199116293</v>
      </c>
      <c r="AX107" s="116">
        <f t="shared" si="71"/>
        <v>0.27868692772257941</v>
      </c>
      <c r="AY107" s="116">
        <f t="shared" si="71"/>
        <v>0.3157245632065776</v>
      </c>
      <c r="AZ107" s="116">
        <f t="shared" si="71"/>
        <v>0.27207325049051667</v>
      </c>
      <c r="BA107" s="116">
        <f t="shared" si="71"/>
        <v>0.27157880123555339</v>
      </c>
      <c r="BB107" s="116">
        <f t="shared" si="71"/>
        <v>0.27190732312784444</v>
      </c>
      <c r="BC107" s="116">
        <f t="shared" si="71"/>
        <v>0.3319485174323884</v>
      </c>
      <c r="BD107" s="116">
        <f t="shared" si="71"/>
        <v>0.3498560423313361</v>
      </c>
      <c r="BE107" s="116">
        <f t="shared" si="71"/>
        <v>0.39158781903474599</v>
      </c>
      <c r="BF107" s="116">
        <f t="shared" si="71"/>
        <v>0.3556847680161091</v>
      </c>
      <c r="BG107" s="116">
        <f t="shared" si="71"/>
        <v>0.32144434628975266</v>
      </c>
      <c r="BH107" s="116">
        <f t="shared" si="71"/>
        <v>0.25281541439380611</v>
      </c>
      <c r="BI107" s="116">
        <f t="shared" si="71"/>
        <v>0.2552779243317842</v>
      </c>
      <c r="BJ107" s="116">
        <f t="shared" si="71"/>
        <v>0.30076001723933604</v>
      </c>
      <c r="BK107" s="116">
        <f t="shared" si="71"/>
        <v>0.28605015251104482</v>
      </c>
      <c r="BL107" s="116">
        <f t="shared" si="71"/>
        <v>0.26191512083217972</v>
      </c>
      <c r="BM107" s="116">
        <f t="shared" si="71"/>
        <v>0.30220685774008121</v>
      </c>
      <c r="BN107" s="116">
        <f t="shared" si="71"/>
        <v>0.32431039949270768</v>
      </c>
      <c r="BO107" s="116">
        <f t="shared" si="71"/>
        <v>0.34369317510403252</v>
      </c>
      <c r="BP107" s="116">
        <f t="shared" si="71"/>
        <v>0.30277828399462137</v>
      </c>
      <c r="BQ107" s="116">
        <f t="shared" si="71"/>
        <v>0.29853541095432357</v>
      </c>
      <c r="BR107" s="116">
        <f t="shared" si="71"/>
        <v>0.31766352059710096</v>
      </c>
      <c r="BS107" s="116">
        <f t="shared" si="71"/>
        <v>0.3155450939928417</v>
      </c>
      <c r="BT107" s="116">
        <f t="shared" si="71"/>
        <v>0.30123137861533089</v>
      </c>
      <c r="BU107" s="116">
        <f t="shared" si="71"/>
        <v>0.29489444313817181</v>
      </c>
      <c r="BV107" s="116">
        <f t="shared" si="71"/>
        <v>0.27736174037261524</v>
      </c>
      <c r="BW107" s="116">
        <f t="shared" si="71"/>
        <v>0.31575235281091202</v>
      </c>
      <c r="BX107" s="116">
        <f t="shared" si="71"/>
        <v>0.30168696253325206</v>
      </c>
      <c r="BY107" s="116">
        <f t="shared" si="71"/>
        <v>0.30825544710879932</v>
      </c>
      <c r="BZ107" s="116">
        <f t="shared" si="71"/>
        <v>0.33804502919098811</v>
      </c>
      <c r="CA107" s="116">
        <f t="shared" si="71"/>
        <v>0.21681545845109487</v>
      </c>
      <c r="CB107" s="116">
        <f t="shared" si="71"/>
        <v>0.27113555356645958</v>
      </c>
      <c r="CC107" s="116">
        <f t="shared" si="71"/>
        <v>0.30981389301699835</v>
      </c>
      <c r="CD107" s="116">
        <f t="shared" si="71"/>
        <v>0.33822838663829558</v>
      </c>
      <c r="CE107" s="116">
        <f t="shared" si="71"/>
        <v>0.34002646866228475</v>
      </c>
      <c r="CF107" s="116">
        <f t="shared" si="71"/>
        <v>0.35526712966204593</v>
      </c>
      <c r="CG107" s="65">
        <f t="shared" si="71"/>
        <v>0.32658975345379698</v>
      </c>
      <c r="CH107" s="65">
        <f t="shared" si="71"/>
        <v>0.34920897831663328</v>
      </c>
      <c r="CI107" s="65">
        <f t="shared" si="71"/>
        <v>0.33096844229158245</v>
      </c>
      <c r="CJ107" s="65">
        <f t="shared" si="71"/>
        <v>0.32534907679536168</v>
      </c>
      <c r="CK107" s="65">
        <f t="shared" si="71"/>
        <v>0.32122613104322267</v>
      </c>
      <c r="CL107" s="65">
        <f t="shared" si="71"/>
        <v>0.33919120426851795</v>
      </c>
      <c r="CM107" s="65">
        <f t="shared" si="71"/>
        <v>0.36858235919614135</v>
      </c>
      <c r="CN107" s="65">
        <f>+CN85/CN88</f>
        <v>0.13012817810450295</v>
      </c>
      <c r="CO107" s="65">
        <f t="shared" si="71"/>
        <v>0.32251706061465196</v>
      </c>
      <c r="CP107" s="65">
        <f t="shared" si="71"/>
        <v>0.31227841657521627</v>
      </c>
      <c r="CQ107" s="65">
        <f>CQ100/(CQ85-(CQ86+CQ87))</f>
        <v>0.32797006555917818</v>
      </c>
      <c r="CR107" s="356">
        <f>CR100/(CR85-(CR86+CR87))</f>
        <v>0.34480988775420451</v>
      </c>
      <c r="CS107" s="356">
        <f>CS100/(CS85-(CS86+CS87))</f>
        <v>0.33557752548106667</v>
      </c>
      <c r="CT107" s="356">
        <f>CT100/(CT85-(CT86+CT87))</f>
        <v>0.35519778635985111</v>
      </c>
      <c r="CU107" s="341">
        <f>CU100/(CU85-(CU86+CU87))</f>
        <v>0.31003473056500797</v>
      </c>
      <c r="CY107" s="198"/>
    </row>
    <row r="108" spans="1:103" x14ac:dyDescent="0.2">
      <c r="A108" s="23" t="s">
        <v>169</v>
      </c>
      <c r="B108" s="280"/>
      <c r="C108" s="116">
        <f t="shared" ref="C108:BN108" si="72">+C85/C88</f>
        <v>2.0774153804031623E-2</v>
      </c>
      <c r="D108" s="116">
        <f t="shared" si="72"/>
        <v>3.1060152305981005E-2</v>
      </c>
      <c r="E108" s="116">
        <f t="shared" si="72"/>
        <v>0.13290560142825261</v>
      </c>
      <c r="F108" s="116">
        <f t="shared" si="72"/>
        <v>0.14290040063356005</v>
      </c>
      <c r="G108" s="116">
        <f t="shared" si="72"/>
        <v>0.1229908920439325</v>
      </c>
      <c r="H108" s="116">
        <f t="shared" si="72"/>
        <v>0.15287608340568301</v>
      </c>
      <c r="I108" s="116">
        <f t="shared" si="72"/>
        <v>0.16720364403955115</v>
      </c>
      <c r="J108" s="116">
        <f t="shared" si="72"/>
        <v>0.15241135695177288</v>
      </c>
      <c r="K108" s="116">
        <f t="shared" si="72"/>
        <v>0.16340129593603039</v>
      </c>
      <c r="L108" s="116">
        <f t="shared" si="72"/>
        <v>0.15194604185279795</v>
      </c>
      <c r="M108" s="116">
        <f t="shared" si="72"/>
        <v>0.1349680283253184</v>
      </c>
      <c r="N108" s="116">
        <f t="shared" si="72"/>
        <v>0.12736849424608004</v>
      </c>
      <c r="O108" s="116">
        <f t="shared" si="72"/>
        <v>0.11356354330330495</v>
      </c>
      <c r="P108" s="116">
        <f t="shared" si="72"/>
        <v>0.11055586970529832</v>
      </c>
      <c r="Q108" s="116">
        <f t="shared" si="72"/>
        <v>0.11879772542648254</v>
      </c>
      <c r="R108" s="116">
        <f t="shared" si="72"/>
        <v>0.10206334527800255</v>
      </c>
      <c r="S108" s="116">
        <f t="shared" si="72"/>
        <v>9.5605827195228879E-2</v>
      </c>
      <c r="T108" s="116">
        <f t="shared" si="72"/>
        <v>0.12271501997867786</v>
      </c>
      <c r="U108" s="116">
        <f t="shared" si="72"/>
        <v>0.11442037742186331</v>
      </c>
      <c r="V108" s="116">
        <f t="shared" si="72"/>
        <v>0.11065438742371232</v>
      </c>
      <c r="W108" s="116">
        <f t="shared" si="72"/>
        <v>0.10631943799709097</v>
      </c>
      <c r="X108" s="116">
        <f t="shared" si="72"/>
        <v>0.14242775886012135</v>
      </c>
      <c r="Y108" s="116">
        <f t="shared" si="72"/>
        <v>0.12849164862988524</v>
      </c>
      <c r="Z108" s="116">
        <f t="shared" si="72"/>
        <v>0.11599637120068886</v>
      </c>
      <c r="AA108" s="116">
        <f t="shared" si="72"/>
        <v>0.1219270416240827</v>
      </c>
      <c r="AB108" s="116">
        <f t="shared" si="72"/>
        <v>0.13007700787037393</v>
      </c>
      <c r="AC108" s="116">
        <f t="shared" si="72"/>
        <v>0.13388797523459417</v>
      </c>
      <c r="AD108" s="116">
        <f t="shared" si="72"/>
        <v>0.1468830414211007</v>
      </c>
      <c r="AE108" s="116">
        <f t="shared" si="72"/>
        <v>0.15287520521950493</v>
      </c>
      <c r="AF108" s="116">
        <f t="shared" si="72"/>
        <v>0.16359331899828414</v>
      </c>
      <c r="AG108" s="116">
        <f t="shared" si="72"/>
        <v>0.18190563105838245</v>
      </c>
      <c r="AH108" s="116">
        <f t="shared" si="72"/>
        <v>0.22307886039653055</v>
      </c>
      <c r="AI108" s="116">
        <f t="shared" si="72"/>
        <v>0.20132080784293649</v>
      </c>
      <c r="AJ108" s="116">
        <f t="shared" si="72"/>
        <v>0.17136752136752137</v>
      </c>
      <c r="AK108" s="116">
        <f t="shared" si="72"/>
        <v>0.14997578524975785</v>
      </c>
      <c r="AL108" s="116">
        <f t="shared" si="72"/>
        <v>0.13993449544417366</v>
      </c>
      <c r="AM108" s="116">
        <f t="shared" si="72"/>
        <v>0.12436605960043355</v>
      </c>
      <c r="AN108" s="116">
        <f t="shared" si="72"/>
        <v>0.1366280665166566</v>
      </c>
      <c r="AO108" s="116">
        <f t="shared" si="72"/>
        <v>0.13694441967413598</v>
      </c>
      <c r="AP108" s="116">
        <f t="shared" si="72"/>
        <v>0.13668805085633784</v>
      </c>
      <c r="AQ108" s="116">
        <f t="shared" si="72"/>
        <v>0.1131393696363456</v>
      </c>
      <c r="AR108" s="116">
        <f t="shared" si="72"/>
        <v>0.13324873096446702</v>
      </c>
      <c r="AS108" s="116">
        <f t="shared" si="72"/>
        <v>0.19062850269280188</v>
      </c>
      <c r="AT108" s="116">
        <f t="shared" si="72"/>
        <v>0.1912557630694694</v>
      </c>
      <c r="AU108" s="116">
        <f t="shared" si="72"/>
        <v>0.15837788407428249</v>
      </c>
      <c r="AV108" s="116">
        <f t="shared" si="72"/>
        <v>0.1796716722124676</v>
      </c>
      <c r="AW108" s="116">
        <f t="shared" si="72"/>
        <v>0.17690053317326365</v>
      </c>
      <c r="AX108" s="116">
        <f t="shared" si="72"/>
        <v>0.17173984143274426</v>
      </c>
      <c r="AY108" s="116">
        <f t="shared" si="72"/>
        <v>0.15537100971457601</v>
      </c>
      <c r="AZ108" s="116">
        <f t="shared" si="72"/>
        <v>0.16818950930626059</v>
      </c>
      <c r="BA108" s="116">
        <f t="shared" si="72"/>
        <v>0.15671683182961099</v>
      </c>
      <c r="BB108" s="116">
        <f t="shared" si="72"/>
        <v>0.15185469738693555</v>
      </c>
      <c r="BC108" s="116">
        <f t="shared" si="72"/>
        <v>0.14400756053590857</v>
      </c>
      <c r="BD108" s="116">
        <f t="shared" si="72"/>
        <v>0.14152001604552175</v>
      </c>
      <c r="BE108" s="116">
        <f t="shared" si="72"/>
        <v>0.1378355516675463</v>
      </c>
      <c r="BF108" s="116">
        <f t="shared" si="72"/>
        <v>0.15367645634011973</v>
      </c>
      <c r="BG108" s="116">
        <f t="shared" si="72"/>
        <v>0.15035766612083082</v>
      </c>
      <c r="BH108" s="116">
        <f t="shared" si="72"/>
        <v>0.17941293588941351</v>
      </c>
      <c r="BI108" s="116">
        <f t="shared" si="72"/>
        <v>0.17843318732672506</v>
      </c>
      <c r="BJ108" s="116">
        <f t="shared" si="72"/>
        <v>0.15280049740981941</v>
      </c>
      <c r="BK108" s="116">
        <f t="shared" si="72"/>
        <v>0.16607958186910909</v>
      </c>
      <c r="BL108" s="116">
        <f t="shared" si="72"/>
        <v>0.16958695029121876</v>
      </c>
      <c r="BM108" s="116">
        <f t="shared" si="72"/>
        <v>0.14989931779124066</v>
      </c>
      <c r="BN108" s="116">
        <f t="shared" si="72"/>
        <v>0.14614564385623785</v>
      </c>
      <c r="BO108" s="116">
        <f t="shared" ref="BO108:CP108" si="73">+BO85/BO88</f>
        <v>0.13755706827516129</v>
      </c>
      <c r="BP108" s="116">
        <f t="shared" si="73"/>
        <v>0.14917901261664682</v>
      </c>
      <c r="BQ108" s="116">
        <f t="shared" si="73"/>
        <v>0.15125745461903506</v>
      </c>
      <c r="BR108" s="116">
        <f t="shared" si="73"/>
        <v>0.15285498182523169</v>
      </c>
      <c r="BS108" s="116">
        <f t="shared" si="73"/>
        <v>0.15483459810682285</v>
      </c>
      <c r="BT108" s="116">
        <f t="shared" si="73"/>
        <v>0.15499291209631993</v>
      </c>
      <c r="BU108" s="116">
        <f t="shared" si="73"/>
        <v>0.1528550058522665</v>
      </c>
      <c r="BV108" s="116">
        <f t="shared" si="73"/>
        <v>0.19299147355184201</v>
      </c>
      <c r="BW108" s="116">
        <f t="shared" si="73"/>
        <v>0.16960067151312821</v>
      </c>
      <c r="BX108" s="116">
        <f t="shared" si="73"/>
        <v>0.16698490475254613</v>
      </c>
      <c r="BY108" s="116">
        <f t="shared" si="73"/>
        <v>0.16516227885119766</v>
      </c>
      <c r="BZ108" s="116">
        <f t="shared" si="73"/>
        <v>0.15395414975323699</v>
      </c>
      <c r="CA108" s="116">
        <f t="shared" si="73"/>
        <v>0.22905883094828289</v>
      </c>
      <c r="CB108" s="116">
        <f t="shared" si="73"/>
        <v>0.17832030255098896</v>
      </c>
      <c r="CC108" s="116">
        <f t="shared" si="73"/>
        <v>0.14785140035892738</v>
      </c>
      <c r="CD108" s="116">
        <f t="shared" si="73"/>
        <v>0.13593362801537026</v>
      </c>
      <c r="CE108" s="116">
        <f t="shared" si="73"/>
        <v>0.12509977730625282</v>
      </c>
      <c r="CF108" s="116">
        <f t="shared" si="73"/>
        <v>0.11570939181907704</v>
      </c>
      <c r="CG108" s="65">
        <f t="shared" si="73"/>
        <v>0.12095719939439513</v>
      </c>
      <c r="CH108" s="65">
        <f t="shared" si="73"/>
        <v>0.11044494298009086</v>
      </c>
      <c r="CI108" s="65">
        <f t="shared" si="73"/>
        <v>0.13063672454059894</v>
      </c>
      <c r="CJ108" s="65">
        <f t="shared" si="73"/>
        <v>0.15311651925584061</v>
      </c>
      <c r="CK108" s="65">
        <f t="shared" si="73"/>
        <v>0.15637565626609384</v>
      </c>
      <c r="CL108" s="65">
        <f t="shared" si="73"/>
        <v>0.14228080683213104</v>
      </c>
      <c r="CM108" s="65">
        <f t="shared" si="73"/>
        <v>0.12604472825212043</v>
      </c>
      <c r="CO108" s="65">
        <f t="shared" si="73"/>
        <v>0.14179011017381854</v>
      </c>
      <c r="CP108" s="65">
        <f t="shared" si="73"/>
        <v>0.13578472970651484</v>
      </c>
      <c r="CQ108" s="65">
        <f>+CQ85/CQ88</f>
        <v>0.12088341000003656</v>
      </c>
      <c r="CR108" s="356">
        <f>+CR85/CR88</f>
        <v>0.11603339743803968</v>
      </c>
      <c r="CS108" s="356">
        <f>+CS85/CS88</f>
        <v>0.11734959011148979</v>
      </c>
      <c r="CT108" s="356">
        <f>+CT85/CT88</f>
        <v>0.11520211532743417</v>
      </c>
      <c r="CU108" s="341">
        <f>+CU85/CU88</f>
        <v>0.12722271009521596</v>
      </c>
      <c r="CY108" s="198"/>
    </row>
    <row r="109" spans="1:103" x14ac:dyDescent="0.2">
      <c r="A109" s="23" t="s">
        <v>170</v>
      </c>
      <c r="B109" s="280"/>
      <c r="C109" s="67">
        <f t="shared" ref="C109:BN109" si="74">C41/C100</f>
        <v>0</v>
      </c>
      <c r="D109" s="67">
        <f t="shared" si="74"/>
        <v>0</v>
      </c>
      <c r="E109" s="67">
        <f t="shared" si="74"/>
        <v>0</v>
      </c>
      <c r="F109" s="67">
        <f t="shared" si="74"/>
        <v>0</v>
      </c>
      <c r="G109" s="67">
        <f t="shared" si="74"/>
        <v>0</v>
      </c>
      <c r="H109" s="67">
        <f t="shared" si="74"/>
        <v>-5.2164840897235272E-4</v>
      </c>
      <c r="I109" s="67">
        <f t="shared" si="74"/>
        <v>5.5679287305122503E-4</v>
      </c>
      <c r="J109" s="67">
        <f t="shared" si="74"/>
        <v>-4.0338846308995562E-4</v>
      </c>
      <c r="K109" s="67">
        <f t="shared" si="74"/>
        <v>0</v>
      </c>
      <c r="L109" s="67">
        <f t="shared" si="74"/>
        <v>0</v>
      </c>
      <c r="M109" s="67">
        <f t="shared" si="74"/>
        <v>0</v>
      </c>
      <c r="N109" s="67">
        <f t="shared" si="74"/>
        <v>0</v>
      </c>
      <c r="O109" s="67">
        <f t="shared" si="74"/>
        <v>0</v>
      </c>
      <c r="P109" s="67">
        <f t="shared" si="74"/>
        <v>0</v>
      </c>
      <c r="Q109" s="67">
        <f t="shared" si="74"/>
        <v>0</v>
      </c>
      <c r="R109" s="67">
        <f t="shared" si="74"/>
        <v>0</v>
      </c>
      <c r="S109" s="67">
        <f t="shared" si="74"/>
        <v>0</v>
      </c>
      <c r="T109" s="67">
        <f t="shared" si="74"/>
        <v>0</v>
      </c>
      <c r="U109" s="67">
        <f t="shared" si="74"/>
        <v>0</v>
      </c>
      <c r="V109" s="67">
        <f t="shared" si="74"/>
        <v>4.8723445722081464E-5</v>
      </c>
      <c r="W109" s="67">
        <f t="shared" si="74"/>
        <v>0</v>
      </c>
      <c r="X109" s="67">
        <f t="shared" si="74"/>
        <v>0</v>
      </c>
      <c r="Y109" s="67">
        <f t="shared" si="74"/>
        <v>0</v>
      </c>
      <c r="Z109" s="67">
        <f t="shared" si="74"/>
        <v>0</v>
      </c>
      <c r="AA109" s="67">
        <f t="shared" si="74"/>
        <v>-2.2656214599664688E-4</v>
      </c>
      <c r="AB109" s="67">
        <f t="shared" si="74"/>
        <v>0</v>
      </c>
      <c r="AC109" s="67">
        <f t="shared" si="74"/>
        <v>0</v>
      </c>
      <c r="AD109" s="67">
        <f t="shared" si="74"/>
        <v>-4.1286397218600609E-4</v>
      </c>
      <c r="AE109" s="67">
        <f t="shared" si="74"/>
        <v>0</v>
      </c>
      <c r="AF109" s="67">
        <f t="shared" si="74"/>
        <v>0</v>
      </c>
      <c r="AG109" s="67">
        <f t="shared" si="74"/>
        <v>0</v>
      </c>
      <c r="AH109" s="67">
        <f t="shared" si="74"/>
        <v>0</v>
      </c>
      <c r="AI109" s="67">
        <f t="shared" si="74"/>
        <v>0</v>
      </c>
      <c r="AJ109" s="67">
        <f t="shared" si="74"/>
        <v>0</v>
      </c>
      <c r="AK109" s="67">
        <f t="shared" si="74"/>
        <v>0</v>
      </c>
      <c r="AL109" s="67">
        <f t="shared" si="74"/>
        <v>0</v>
      </c>
      <c r="AM109" s="67">
        <f t="shared" si="74"/>
        <v>0</v>
      </c>
      <c r="AN109" s="67">
        <f t="shared" si="74"/>
        <v>0</v>
      </c>
      <c r="AO109" s="67">
        <f t="shared" si="74"/>
        <v>0</v>
      </c>
      <c r="AP109" s="67">
        <f t="shared" si="74"/>
        <v>0</v>
      </c>
      <c r="AQ109" s="67">
        <f t="shared" si="74"/>
        <v>0</v>
      </c>
      <c r="AR109" s="67">
        <f t="shared" si="74"/>
        <v>-1.4814814814814814E-3</v>
      </c>
      <c r="AS109" s="67">
        <f t="shared" si="74"/>
        <v>0</v>
      </c>
      <c r="AT109" s="67">
        <f t="shared" si="74"/>
        <v>0</v>
      </c>
      <c r="AU109" s="67">
        <f t="shared" si="74"/>
        <v>0</v>
      </c>
      <c r="AV109" s="67">
        <f t="shared" si="74"/>
        <v>0</v>
      </c>
      <c r="AW109" s="65">
        <f t="shared" si="74"/>
        <v>-3.5997120230381568E-4</v>
      </c>
      <c r="AX109" s="67">
        <f t="shared" si="74"/>
        <v>0</v>
      </c>
      <c r="AY109" s="67">
        <f t="shared" si="74"/>
        <v>0</v>
      </c>
      <c r="AZ109" s="67">
        <f t="shared" si="74"/>
        <v>0</v>
      </c>
      <c r="BA109" s="67">
        <f t="shared" si="74"/>
        <v>0</v>
      </c>
      <c r="BB109" s="67">
        <f t="shared" si="74"/>
        <v>-3.0432136335970786E-4</v>
      </c>
      <c r="BC109" s="67">
        <f t="shared" si="74"/>
        <v>-2.45398773006135E-5</v>
      </c>
      <c r="BD109" s="67">
        <f t="shared" si="74"/>
        <v>-2.2241992882562279E-5</v>
      </c>
      <c r="BE109" s="67">
        <f t="shared" si="74"/>
        <v>2.0304568527918785E-5</v>
      </c>
      <c r="BF109" s="67">
        <f t="shared" si="74"/>
        <v>9.348030506105337E-5</v>
      </c>
      <c r="BG109" s="67">
        <f t="shared" si="74"/>
        <v>-1.7345242184816215E-5</v>
      </c>
      <c r="BH109" s="67">
        <f t="shared" si="74"/>
        <v>-3.7588654950408909E-5</v>
      </c>
      <c r="BI109" s="67">
        <f t="shared" si="74"/>
        <v>-7.811872767477462E-6</v>
      </c>
      <c r="BJ109" s="67">
        <f t="shared" si="74"/>
        <v>2.2517618199833048E-5</v>
      </c>
      <c r="BK109" s="67">
        <f t="shared" si="74"/>
        <v>-1.9600689353821641E-5</v>
      </c>
      <c r="BL109" s="67">
        <f t="shared" si="74"/>
        <v>-3.3471458773784355E-5</v>
      </c>
      <c r="BM109" s="67">
        <f t="shared" si="74"/>
        <v>-2.26024208566108E-5</v>
      </c>
      <c r="BN109" s="67">
        <f t="shared" si="74"/>
        <v>2.1604546010020776E-6</v>
      </c>
      <c r="BO109" s="67">
        <f t="shared" ref="BO109:CP109" si="75">BO41/BO100</f>
        <v>2.4551787141715197E-5</v>
      </c>
      <c r="BP109" s="67">
        <f t="shared" si="75"/>
        <v>7.9832664481293137E-6</v>
      </c>
      <c r="BQ109" s="67">
        <f t="shared" si="75"/>
        <v>8.960573476702509E-6</v>
      </c>
      <c r="BR109" s="67">
        <f t="shared" si="75"/>
        <v>2.6578256979083727E-6</v>
      </c>
      <c r="BS109" s="67">
        <f t="shared" si="75"/>
        <v>3.5969752707950128E-5</v>
      </c>
      <c r="BT109" s="67">
        <f t="shared" si="75"/>
        <v>-7.0806421414127633E-5</v>
      </c>
      <c r="BU109" s="67">
        <f t="shared" si="75"/>
        <v>-4.3197994813463519E-5</v>
      </c>
      <c r="BV109" s="67">
        <f t="shared" si="75"/>
        <v>-3.6147974168914588E-5</v>
      </c>
      <c r="BW109" s="281">
        <f t="shared" si="75"/>
        <v>-1.0646457514773994E-4</v>
      </c>
      <c r="BX109" s="281">
        <f t="shared" si="75"/>
        <v>1.4560203721174049E-4</v>
      </c>
      <c r="BY109" s="281">
        <f t="shared" si="75"/>
        <v>-3.7888963811875105E-5</v>
      </c>
      <c r="BZ109" s="67">
        <f t="shared" si="75"/>
        <v>2.3922576544780924E-5</v>
      </c>
      <c r="CA109" s="75">
        <f t="shared" si="75"/>
        <v>4.1238555086398396E-5</v>
      </c>
      <c r="CB109" s="67">
        <f t="shared" si="75"/>
        <v>-3.545795158641744E-4</v>
      </c>
      <c r="CC109" s="67">
        <f t="shared" si="75"/>
        <v>-2.7172626480153808E-5</v>
      </c>
      <c r="CD109" s="75">
        <f t="shared" si="75"/>
        <v>6.0389277513579337E-5</v>
      </c>
      <c r="CE109" s="75">
        <f t="shared" si="75"/>
        <v>8.2342017429256692E-5</v>
      </c>
      <c r="CF109" s="75">
        <f t="shared" si="75"/>
        <v>-4.6477129136088896E-5</v>
      </c>
      <c r="CG109" s="75">
        <f t="shared" si="75"/>
        <v>-2.703006382250147E-5</v>
      </c>
      <c r="CH109" s="75">
        <f t="shared" si="75"/>
        <v>-1.4542985123616282E-5</v>
      </c>
      <c r="CI109" s="75">
        <f t="shared" si="75"/>
        <v>8.001988841700154E-5</v>
      </c>
      <c r="CJ109" s="75">
        <f t="shared" si="75"/>
        <v>-6.3621719504860212E-5</v>
      </c>
      <c r="CK109" s="75">
        <f t="shared" si="75"/>
        <v>-2.2662625982268609E-5</v>
      </c>
      <c r="CL109" s="75">
        <f t="shared" si="75"/>
        <v>-5.0699607392723937E-5</v>
      </c>
      <c r="CM109" s="75">
        <f t="shared" si="75"/>
        <v>-9.8976327015356254E-6</v>
      </c>
      <c r="CN109" s="75">
        <f t="shared" si="75"/>
        <v>1.696331131851288E-5</v>
      </c>
      <c r="CO109" s="75">
        <f t="shared" si="75"/>
        <v>-7.6058595710048064E-6</v>
      </c>
      <c r="CP109" s="75">
        <f t="shared" si="75"/>
        <v>1.7560112862114932E-4</v>
      </c>
      <c r="CQ109" s="75">
        <f>CQ41/CQ100</f>
        <v>-2.7249705415040159E-5</v>
      </c>
      <c r="CR109" s="291">
        <f>CR41/CR100</f>
        <v>4.0678387163318943E-6</v>
      </c>
      <c r="CS109" s="291">
        <f>CS41/CS100</f>
        <v>-2.6472847086002959E-5</v>
      </c>
      <c r="CT109" s="291">
        <f>CT41/CT100</f>
        <v>6.2998803462383101E-5</v>
      </c>
      <c r="CU109" s="346">
        <f>CU41/CU100</f>
        <v>-3.0604806903278185E-6</v>
      </c>
      <c r="CY109" s="198"/>
    </row>
    <row r="110" spans="1:103" x14ac:dyDescent="0.2">
      <c r="A110" s="23" t="s">
        <v>45</v>
      </c>
      <c r="B110" s="282"/>
      <c r="C110" s="70">
        <v>2.1100000000000001E-2</v>
      </c>
      <c r="D110" s="70">
        <v>2.1299999999999999E-2</v>
      </c>
      <c r="E110" s="70">
        <v>2.24E-2</v>
      </c>
      <c r="F110" s="70">
        <v>1.54E-2</v>
      </c>
      <c r="G110" s="70">
        <v>1.49E-2</v>
      </c>
      <c r="H110" s="70">
        <v>1.6E-2</v>
      </c>
      <c r="I110" s="70">
        <v>1.4200000000000001E-2</v>
      </c>
      <c r="J110" s="70">
        <v>1.2500000000000001E-2</v>
      </c>
      <c r="K110" s="70">
        <v>0.01</v>
      </c>
      <c r="L110" s="70">
        <v>8.0999999999999996E-3</v>
      </c>
      <c r="M110" s="70">
        <v>5.4000000000000003E-3</v>
      </c>
      <c r="N110" s="70">
        <v>5.4000000000000003E-3</v>
      </c>
      <c r="O110" s="70">
        <v>5.4000000000000003E-3</v>
      </c>
      <c r="P110" s="70">
        <v>3.7000000000000002E-3</v>
      </c>
      <c r="Q110" s="70">
        <v>4.0000000000000001E-3</v>
      </c>
      <c r="R110" s="70">
        <v>4.7000000000000002E-3</v>
      </c>
      <c r="S110" s="70">
        <v>5.1999999999999998E-3</v>
      </c>
      <c r="T110" s="70">
        <v>5.7000000000000002E-3</v>
      </c>
      <c r="U110" s="70">
        <v>3.5000000000000001E-3</v>
      </c>
      <c r="V110" s="70">
        <v>3.3999999999999998E-3</v>
      </c>
      <c r="W110" s="70">
        <v>5.5999999999999999E-3</v>
      </c>
      <c r="X110" s="70">
        <v>7.4999999999999997E-3</v>
      </c>
      <c r="Y110" s="70">
        <v>9.4000000000000004E-3</v>
      </c>
      <c r="Z110" s="70">
        <v>1.35E-2</v>
      </c>
      <c r="AA110" s="70">
        <v>1.6799999999999999E-2</v>
      </c>
      <c r="AB110" s="70">
        <v>1.8599999999999998E-2</v>
      </c>
      <c r="AC110" s="71">
        <v>2.1000000000000001E-2</v>
      </c>
      <c r="AD110" s="71">
        <v>2.3E-2</v>
      </c>
      <c r="AE110" s="71">
        <v>2.5899999999999999E-2</v>
      </c>
      <c r="AF110" s="71">
        <v>2.9600000000000001E-2</v>
      </c>
      <c r="AG110" s="71">
        <v>3.2899999999999999E-2</v>
      </c>
      <c r="AH110" s="71">
        <v>2.2700000000000001E-2</v>
      </c>
      <c r="AI110" s="71">
        <v>7.9000000000000008E-3</v>
      </c>
      <c r="AJ110" s="70">
        <v>1.4E-3</v>
      </c>
      <c r="AK110" s="72">
        <v>1E-3</v>
      </c>
      <c r="AL110" s="70">
        <v>8.4999999999999995E-4</v>
      </c>
      <c r="AM110" s="71">
        <v>9.3999999999999997E-4</v>
      </c>
      <c r="AN110" s="70">
        <v>1.1100000000000001E-3</v>
      </c>
      <c r="AO110" s="70">
        <v>2.2000000000000001E-3</v>
      </c>
      <c r="AP110" s="70">
        <v>3.5999999999999999E-3</v>
      </c>
      <c r="AQ110" s="70">
        <v>5.1999999999999998E-3</v>
      </c>
      <c r="AR110" s="70">
        <v>7.4999999999999997E-3</v>
      </c>
      <c r="AS110" s="72">
        <v>9.4999999999999998E-3</v>
      </c>
      <c r="AT110" s="71">
        <v>8.8999999999999999E-3</v>
      </c>
      <c r="AU110" s="71">
        <v>7.1000000000000004E-3</v>
      </c>
      <c r="AV110" s="70">
        <v>6.6E-3</v>
      </c>
      <c r="AW110" s="70">
        <v>6.6E-3</v>
      </c>
      <c r="AX110" s="70">
        <v>3.8736580605092715E-3</v>
      </c>
      <c r="AY110" s="70">
        <v>2.5901169509545603E-3</v>
      </c>
      <c r="AZ110" s="70">
        <v>2.6476752097981402E-3</v>
      </c>
      <c r="BA110" s="70">
        <v>2.5319302485608312E-3</v>
      </c>
      <c r="BB110" s="70">
        <v>2.3410113384802153E-3</v>
      </c>
      <c r="BC110" s="70">
        <v>1.478036573628489E-3</v>
      </c>
      <c r="BD110" s="70">
        <v>1.5368295233826386E-3</v>
      </c>
      <c r="BE110" s="70">
        <v>1.5974605986786254E-4</v>
      </c>
      <c r="BF110" s="70">
        <v>-3.0002580093817964E-5</v>
      </c>
      <c r="BG110" s="70">
        <v>5.9374607049491191E-6</v>
      </c>
      <c r="BH110" s="70">
        <v>5.7345018151548082E-6</v>
      </c>
      <c r="BI110" s="71">
        <v>2.5989719024401659E-5</v>
      </c>
      <c r="BJ110" s="70">
        <v>9.8701524447884875E-6</v>
      </c>
      <c r="BK110" s="70">
        <v>1.6051635752401989E-5</v>
      </c>
      <c r="BL110" s="70">
        <v>6.5907446253872879E-6</v>
      </c>
      <c r="BM110" s="70">
        <v>-4.4186267974478619E-6</v>
      </c>
      <c r="BN110" s="70">
        <v>1.2210245158828579E-6</v>
      </c>
      <c r="BO110" s="70">
        <v>-8.4528108885946403E-6</v>
      </c>
      <c r="BP110" s="71">
        <v>-2.2576257962917933E-6</v>
      </c>
      <c r="BQ110" s="70">
        <v>-4.7116865894241997E-6</v>
      </c>
      <c r="BR110" s="70">
        <v>-1.7105107660219826E-5</v>
      </c>
      <c r="BS110" s="70">
        <v>-6.1935507623951724E-6</v>
      </c>
      <c r="BT110" s="70">
        <v>-5.6826779341676274E-6</v>
      </c>
      <c r="BU110" s="70">
        <v>-2.1222897431084396E-5</v>
      </c>
      <c r="BV110" s="70">
        <v>-1.6728483604150083E-5</v>
      </c>
      <c r="BW110" s="71">
        <v>-3.7034475287450273E-6</v>
      </c>
      <c r="BX110" s="71">
        <v>4.7456132259125467E-6</v>
      </c>
      <c r="BY110" s="71">
        <v>-8.6629613578684911E-6</v>
      </c>
      <c r="BZ110" s="70">
        <v>9.9388697173913622E-6</v>
      </c>
      <c r="CA110" s="70">
        <v>-1.0980003508568851E-5</v>
      </c>
      <c r="CB110" s="70">
        <v>-6.6612528726601752E-6</v>
      </c>
      <c r="CC110" s="70">
        <v>1.2297666854542534E-6</v>
      </c>
      <c r="CD110" s="70">
        <v>-1.9253941445557143E-5</v>
      </c>
      <c r="CE110" s="70">
        <v>-6.3284302624193878E-5</v>
      </c>
      <c r="CF110" s="70">
        <v>-2.7834435901463044E-6</v>
      </c>
      <c r="CG110" s="70">
        <v>-7.9880858933711311E-6</v>
      </c>
      <c r="CH110" s="70">
        <v>6.6469021524380684E-5</v>
      </c>
      <c r="CI110" s="70">
        <v>-1.6181997635444104E-5</v>
      </c>
      <c r="CJ110" s="70">
        <v>4.9248361691354669E-6</v>
      </c>
      <c r="CK110" s="70">
        <v>-2.795842709805069E-6</v>
      </c>
      <c r="CL110" s="70">
        <v>4.6514373612316817E-4</v>
      </c>
      <c r="CM110" s="70">
        <v>6.6464726047696107E-3</v>
      </c>
      <c r="CN110" s="70">
        <v>1.0498145724289394E-2</v>
      </c>
      <c r="CO110" s="70">
        <v>1.4417104874661866E-2</v>
      </c>
      <c r="CP110" s="70">
        <v>1.7600273872374117E-2</v>
      </c>
      <c r="CQ110" s="209">
        <v>1.8569925393652816E-2</v>
      </c>
      <c r="CR110" s="360">
        <v>1.8778908240517294E-2</v>
      </c>
      <c r="CS110" s="360">
        <v>1.7023296726264705E-2</v>
      </c>
      <c r="CT110" s="360">
        <v>1.3401897711580374E-2</v>
      </c>
      <c r="CU110" s="398">
        <v>9.7301716424539955E-3</v>
      </c>
      <c r="CY110" s="198"/>
    </row>
    <row r="111" spans="1:103" x14ac:dyDescent="0.2">
      <c r="A111" s="23" t="s">
        <v>116</v>
      </c>
      <c r="B111" s="282"/>
      <c r="C111" s="70">
        <v>9.3299999999999994E-2</v>
      </c>
      <c r="D111" s="70">
        <v>8.5900000000000004E-2</v>
      </c>
      <c r="E111" s="70">
        <v>0.13170000000000001</v>
      </c>
      <c r="F111" s="70">
        <v>8.4500000000000006E-2</v>
      </c>
      <c r="G111" s="70">
        <v>8.4699999999999998E-2</v>
      </c>
      <c r="H111" s="70">
        <v>8.4900000000000003E-2</v>
      </c>
      <c r="I111" s="70">
        <v>9.0399999999999994E-2</v>
      </c>
      <c r="J111" s="70">
        <v>9.2899999999999996E-2</v>
      </c>
      <c r="K111" s="70">
        <v>8.1100000000000005E-2</v>
      </c>
      <c r="L111" s="70">
        <v>7.5999999999999998E-2</v>
      </c>
      <c r="M111" s="70">
        <v>6.7699999999999996E-2</v>
      </c>
      <c r="N111" s="70">
        <v>6.7000000000000004E-2</v>
      </c>
      <c r="O111" s="70">
        <v>6.4199999999999993E-2</v>
      </c>
      <c r="P111" s="70">
        <v>5.4300000000000001E-2</v>
      </c>
      <c r="Q111" s="70">
        <v>5.4699999999999999E-2</v>
      </c>
      <c r="R111" s="70">
        <v>5.2499999999999998E-2</v>
      </c>
      <c r="S111" s="70">
        <v>5.2499999999999998E-2</v>
      </c>
      <c r="T111" s="70">
        <v>5.1200000000000002E-2</v>
      </c>
      <c r="U111" s="70">
        <v>4.6699999999999998E-2</v>
      </c>
      <c r="V111" s="70">
        <v>4.4999999999999998E-2</v>
      </c>
      <c r="W111" s="70">
        <v>4.9099999999999998E-2</v>
      </c>
      <c r="X111" s="70">
        <v>5.4600000000000003E-2</v>
      </c>
      <c r="Y111" s="70">
        <v>5.4600000000000003E-2</v>
      </c>
      <c r="Z111" s="70">
        <v>5.5800000000000002E-2</v>
      </c>
      <c r="AA111" s="70">
        <v>0.06</v>
      </c>
      <c r="AB111" s="70">
        <v>6.1899999999999997E-2</v>
      </c>
      <c r="AC111" s="71">
        <v>6.2E-2</v>
      </c>
      <c r="AD111" s="71">
        <v>6.8000000000000005E-2</v>
      </c>
      <c r="AE111" s="71">
        <v>6.7000000000000004E-2</v>
      </c>
      <c r="AF111" s="71">
        <v>7.1999999999999995E-2</v>
      </c>
      <c r="AG111" s="71">
        <v>7.2599999999999998E-2</v>
      </c>
      <c r="AH111" s="71">
        <v>6.1100000000000002E-2</v>
      </c>
      <c r="AI111" s="71">
        <v>4.6199999999999998E-2</v>
      </c>
      <c r="AJ111" s="70">
        <v>3.8800000000000001E-2</v>
      </c>
      <c r="AK111" s="72">
        <v>3.3399999999999999E-2</v>
      </c>
      <c r="AL111" s="70">
        <v>3.4500000000000003E-2</v>
      </c>
      <c r="AM111" s="71">
        <v>3.3799999999999997E-2</v>
      </c>
      <c r="AN111" s="70">
        <v>3.2599999999999997E-2</v>
      </c>
      <c r="AO111" s="70">
        <v>3.3500000000000002E-2</v>
      </c>
      <c r="AP111" s="70">
        <v>3.9100000000000003E-2</v>
      </c>
      <c r="AQ111" s="70">
        <v>4.4499999999999998E-2</v>
      </c>
      <c r="AR111" s="70">
        <v>4.8099999999999997E-2</v>
      </c>
      <c r="AS111" s="72">
        <v>5.0299999999999997E-2</v>
      </c>
      <c r="AT111" s="71">
        <v>5.0999999999999997E-2</v>
      </c>
      <c r="AU111" s="71">
        <v>4.9799999999999997E-2</v>
      </c>
      <c r="AV111" s="70">
        <v>5.1900000000000002E-2</v>
      </c>
      <c r="AW111" s="70">
        <v>5.21E-2</v>
      </c>
      <c r="AX111" s="70">
        <v>4.3742507536797308E-2</v>
      </c>
      <c r="AY111" s="70">
        <v>4.1415809876959378E-2</v>
      </c>
      <c r="AZ111" s="70">
        <v>3.9957219251336898E-2</v>
      </c>
      <c r="BA111" s="70">
        <v>3.8821582257530622E-2</v>
      </c>
      <c r="BB111" s="70">
        <v>4.0344139650872815E-2</v>
      </c>
      <c r="BC111" s="70">
        <v>3.6024453199293573E-2</v>
      </c>
      <c r="BD111" s="70">
        <v>3.33534010033835E-2</v>
      </c>
      <c r="BE111" s="70">
        <v>3.0126738138201891E-2</v>
      </c>
      <c r="BF111" s="70">
        <v>2.6987692232466051E-2</v>
      </c>
      <c r="BG111" s="70">
        <v>2.5235257339575042E-2</v>
      </c>
      <c r="BH111" s="70">
        <v>2.4652778978304087E-2</v>
      </c>
      <c r="BI111" s="71">
        <v>2.4701186994667126E-2</v>
      </c>
      <c r="BJ111" s="70">
        <v>2.4625716708823551E-2</v>
      </c>
      <c r="BK111" s="70">
        <v>2.373608480013158E-2</v>
      </c>
      <c r="BL111" s="70">
        <v>2.2293825543668142E-2</v>
      </c>
      <c r="BM111" s="70">
        <v>2.0437340876944838E-2</v>
      </c>
      <c r="BN111" s="70">
        <v>2.0311062989618496E-2</v>
      </c>
      <c r="BO111" s="70">
        <v>1.9710035419126328E-2</v>
      </c>
      <c r="BP111" s="71">
        <v>1.8949474704108054E-2</v>
      </c>
      <c r="BQ111" s="70">
        <v>1.8790777478262379E-2</v>
      </c>
      <c r="BR111" s="70">
        <v>1.8459925965433187E-2</v>
      </c>
      <c r="BS111" s="70">
        <v>1.8682996542285574E-2</v>
      </c>
      <c r="BT111" s="70">
        <v>1.8086520362407509E-2</v>
      </c>
      <c r="BU111" s="70">
        <v>1.8078578267487218E-2</v>
      </c>
      <c r="BV111" s="70">
        <v>1.6960733799853953E-2</v>
      </c>
      <c r="BW111" s="71">
        <v>1.6463856873062465E-2</v>
      </c>
      <c r="BX111" s="71">
        <v>1.6525664487125363E-2</v>
      </c>
      <c r="BY111" s="71">
        <v>1.6314463036927483E-2</v>
      </c>
      <c r="BZ111" s="70">
        <v>1.6202306330558032E-2</v>
      </c>
      <c r="CA111" s="70">
        <v>1.8523888207836132E-2</v>
      </c>
      <c r="CB111" s="70">
        <v>1.7700320801485033E-2</v>
      </c>
      <c r="CC111" s="70">
        <v>1.8281604483864261E-2</v>
      </c>
      <c r="CD111" s="70">
        <v>1.8806891244330409E-2</v>
      </c>
      <c r="CE111" s="70">
        <v>1.8986322800550383E-2</v>
      </c>
      <c r="CF111" s="70">
        <v>1.8375260030395309E-2</v>
      </c>
      <c r="CG111" s="70">
        <v>1.8097663132228221E-2</v>
      </c>
      <c r="CH111" s="70">
        <v>1.8117456528745895E-2</v>
      </c>
      <c r="CI111" s="70">
        <v>1.7659003645952492E-2</v>
      </c>
      <c r="CJ111" s="70">
        <v>1.8595437246657458E-2</v>
      </c>
      <c r="CK111" s="70">
        <v>2.4053073246213093E-2</v>
      </c>
      <c r="CL111" s="70">
        <v>3.2044855055107277E-2</v>
      </c>
      <c r="CM111" s="70">
        <v>3.6035217684900325E-2</v>
      </c>
      <c r="CN111" s="70">
        <v>4.0013664123193349E-2</v>
      </c>
      <c r="CO111" s="70">
        <v>4.2236424106123167E-2</v>
      </c>
      <c r="CP111" s="70">
        <v>4.591971568802921E-2</v>
      </c>
      <c r="CQ111" s="209">
        <v>4.6663161497434484E-2</v>
      </c>
      <c r="CR111" s="360">
        <v>4.4447024108613231E-2</v>
      </c>
      <c r="CS111" s="360">
        <v>4.2988330287501063E-2</v>
      </c>
      <c r="CT111" s="360">
        <v>3.8376452599838316E-2</v>
      </c>
      <c r="CU111" s="398">
        <v>3.4016042816786836E-2</v>
      </c>
      <c r="CV111" s="2"/>
      <c r="CW111" s="2"/>
      <c r="CY111" s="198"/>
    </row>
    <row r="112" spans="1:103" x14ac:dyDescent="0.2">
      <c r="A112" s="64"/>
      <c r="B112" s="283"/>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5"/>
      <c r="AD112" s="15"/>
      <c r="AE112" s="15"/>
      <c r="AF112" s="15"/>
      <c r="AG112" s="15"/>
      <c r="AH112" s="15"/>
      <c r="AI112" s="15"/>
      <c r="AJ112" s="14"/>
      <c r="AK112" s="4"/>
      <c r="AL112" s="14"/>
      <c r="AM112" s="15"/>
      <c r="AN112" s="14"/>
      <c r="AO112" s="14"/>
      <c r="AP112" s="14"/>
      <c r="AQ112" s="14"/>
      <c r="AR112" s="14"/>
      <c r="AS112" s="4"/>
      <c r="AT112" s="15"/>
      <c r="AU112" s="15"/>
      <c r="AV112" s="14"/>
      <c r="AW112" s="14"/>
      <c r="AX112" s="14"/>
      <c r="AY112" s="14"/>
      <c r="AZ112" s="14"/>
      <c r="BA112" s="14"/>
      <c r="BB112" s="14"/>
      <c r="BC112" s="14"/>
      <c r="BD112" s="14"/>
      <c r="BE112" s="14"/>
      <c r="BF112" s="14"/>
      <c r="BG112" s="14"/>
      <c r="BH112" s="14"/>
      <c r="BI112" s="15"/>
      <c r="BJ112" s="14"/>
      <c r="BK112" s="14"/>
      <c r="BL112" s="14"/>
      <c r="BM112" s="14"/>
      <c r="BN112" s="14"/>
      <c r="BO112" s="14"/>
      <c r="BP112" s="63"/>
      <c r="BQ112" s="14"/>
      <c r="BR112" s="63"/>
      <c r="BS112" s="14"/>
      <c r="BT112" s="14"/>
      <c r="BU112" s="14"/>
      <c r="BV112" s="16"/>
      <c r="BW112" s="15"/>
      <c r="BX112" s="15"/>
      <c r="BY112" s="15"/>
      <c r="BZ112" s="14"/>
      <c r="CA112" s="14"/>
      <c r="CB112" s="14"/>
      <c r="CC112" s="14"/>
      <c r="CD112" s="14"/>
      <c r="CE112" s="14"/>
      <c r="CF112" s="14"/>
      <c r="CG112" s="14"/>
      <c r="CH112" s="14"/>
      <c r="CI112" s="14"/>
      <c r="CJ112" s="14"/>
      <c r="CK112" s="14"/>
      <c r="CL112" s="14"/>
      <c r="CM112" s="14"/>
      <c r="CN112" s="14"/>
      <c r="CO112" s="14"/>
      <c r="CP112" s="14"/>
      <c r="CQ112" s="14"/>
      <c r="CR112" s="15"/>
      <c r="CS112" s="15"/>
      <c r="CT112" s="15"/>
      <c r="CU112" s="17"/>
    </row>
    <row r="113" spans="1:99" x14ac:dyDescent="0.2">
      <c r="A113" s="135" t="s">
        <v>123</v>
      </c>
      <c r="B113" s="25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5"/>
      <c r="AD113" s="15"/>
      <c r="AE113" s="15"/>
      <c r="AF113" s="15"/>
      <c r="AG113" s="15"/>
      <c r="AH113" s="15"/>
      <c r="AI113" s="15"/>
      <c r="AJ113" s="14"/>
      <c r="AK113" s="4"/>
      <c r="AL113" s="14"/>
      <c r="AM113" s="15"/>
      <c r="AN113" s="14"/>
      <c r="AO113" s="14"/>
      <c r="AP113" s="14"/>
      <c r="AQ113" s="14"/>
      <c r="AR113" s="14"/>
      <c r="AS113" s="4"/>
      <c r="AT113" s="15"/>
      <c r="AU113" s="15"/>
      <c r="AV113" s="14"/>
      <c r="AW113" s="14"/>
      <c r="AX113" s="14"/>
      <c r="AY113" s="14"/>
      <c r="AZ113" s="14"/>
      <c r="BA113" s="14"/>
      <c r="BB113" s="14"/>
      <c r="BC113" s="14"/>
      <c r="BD113" s="14"/>
      <c r="BE113" s="14"/>
      <c r="BF113" s="14"/>
      <c r="BG113" s="14"/>
      <c r="BH113" s="14"/>
      <c r="BI113" s="15"/>
      <c r="BJ113" s="14"/>
      <c r="BK113" s="14"/>
      <c r="BL113" s="14"/>
      <c r="BM113" s="14"/>
      <c r="BN113" s="14"/>
      <c r="BO113" s="14"/>
      <c r="BP113" s="63"/>
      <c r="BQ113" s="14"/>
      <c r="BR113" s="63"/>
      <c r="BS113" s="14"/>
      <c r="BT113" s="14"/>
      <c r="BU113" s="14"/>
      <c r="BV113" s="16"/>
      <c r="BW113" s="15"/>
      <c r="BX113" s="15"/>
      <c r="BY113" s="15"/>
      <c r="BZ113" s="14"/>
      <c r="CA113" s="14"/>
      <c r="CB113" s="14"/>
      <c r="CC113" s="14"/>
      <c r="CD113" s="14"/>
      <c r="CE113" s="14"/>
      <c r="CF113" s="14"/>
      <c r="CG113" s="14"/>
      <c r="CH113" s="14"/>
      <c r="CI113" s="14"/>
      <c r="CJ113" s="14"/>
      <c r="CK113" s="14"/>
      <c r="CL113" s="14"/>
      <c r="CM113" s="14"/>
      <c r="CN113" s="14"/>
      <c r="CO113" s="14"/>
      <c r="CP113" s="14"/>
      <c r="CQ113" s="14"/>
      <c r="CR113" s="15"/>
      <c r="CS113" s="15"/>
      <c r="CT113" s="15"/>
      <c r="CU113" s="17"/>
    </row>
    <row r="114" spans="1:99" ht="15" x14ac:dyDescent="0.2">
      <c r="A114" s="23" t="s">
        <v>235</v>
      </c>
      <c r="B114" s="231"/>
      <c r="C114" s="24">
        <v>175947</v>
      </c>
      <c r="D114" s="24">
        <v>121482</v>
      </c>
      <c r="E114" s="24">
        <v>141849</v>
      </c>
      <c r="F114" s="24">
        <v>231096</v>
      </c>
      <c r="G114" s="24">
        <v>184721</v>
      </c>
      <c r="H114" s="24">
        <v>136970</v>
      </c>
      <c r="I114" s="24">
        <v>170688</v>
      </c>
      <c r="J114" s="24">
        <v>271392</v>
      </c>
      <c r="K114" s="24">
        <v>168346</v>
      </c>
      <c r="L114" s="24">
        <v>181199</v>
      </c>
      <c r="M114" s="24">
        <v>273974</v>
      </c>
      <c r="N114" s="24">
        <v>309242</v>
      </c>
      <c r="O114" s="24">
        <v>489153</v>
      </c>
      <c r="P114" s="24">
        <v>288851</v>
      </c>
      <c r="Q114" s="24">
        <v>227554</v>
      </c>
      <c r="R114" s="24">
        <v>322486</v>
      </c>
      <c r="S114" s="24">
        <v>379933</v>
      </c>
      <c r="T114" s="24">
        <v>402080</v>
      </c>
      <c r="U114" s="24">
        <v>492314</v>
      </c>
      <c r="V114" s="24">
        <v>552590</v>
      </c>
      <c r="W114" s="24">
        <v>780571</v>
      </c>
      <c r="X114" s="24">
        <v>777772</v>
      </c>
      <c r="Y114" s="24">
        <v>555336</v>
      </c>
      <c r="Z114" s="24">
        <v>760641</v>
      </c>
      <c r="AA114" s="24">
        <v>986161</v>
      </c>
      <c r="AB114" s="24">
        <v>863458</v>
      </c>
      <c r="AC114" s="25">
        <v>879915</v>
      </c>
      <c r="AD114" s="25">
        <v>1060876</v>
      </c>
      <c r="AE114" s="25">
        <v>1043144</v>
      </c>
      <c r="AF114" s="25">
        <v>925216</v>
      </c>
      <c r="AG114" s="25">
        <v>940381</v>
      </c>
      <c r="AH114" s="25">
        <v>1166520</v>
      </c>
      <c r="AI114" s="25">
        <v>1145757</v>
      </c>
      <c r="AJ114" s="24">
        <v>1559585</v>
      </c>
      <c r="AK114" s="232">
        <v>1487321</v>
      </c>
      <c r="AL114" s="24">
        <v>1713294</v>
      </c>
      <c r="AM114" s="25">
        <v>1936210</v>
      </c>
      <c r="AN114" s="24">
        <v>1963379</v>
      </c>
      <c r="AO114" s="24">
        <v>1640897</v>
      </c>
      <c r="AP114" s="24">
        <v>2013851</v>
      </c>
      <c r="AQ114" s="24">
        <v>2291024</v>
      </c>
      <c r="AR114" s="24">
        <v>1754584</v>
      </c>
      <c r="AS114" s="232">
        <v>1914395</v>
      </c>
      <c r="AT114" s="25">
        <v>1689853</v>
      </c>
      <c r="AU114" s="25">
        <v>2129812</v>
      </c>
      <c r="AV114" s="24">
        <v>1643542</v>
      </c>
      <c r="AW114" s="24">
        <v>1414935</v>
      </c>
      <c r="AX114" s="24">
        <v>1495322</v>
      </c>
      <c r="AY114" s="24">
        <v>1981467</v>
      </c>
      <c r="AZ114" s="24">
        <v>1730860</v>
      </c>
      <c r="BA114" s="24">
        <v>1975134</v>
      </c>
      <c r="BB114" s="24">
        <v>1968168</v>
      </c>
      <c r="BC114" s="24">
        <v>2479174</v>
      </c>
      <c r="BD114" s="24">
        <v>2164634</v>
      </c>
      <c r="BE114" s="24">
        <v>2278290</v>
      </c>
      <c r="BF114" s="24">
        <v>2763968</v>
      </c>
      <c r="BG114" s="24">
        <v>4134225</v>
      </c>
      <c r="BH114" s="24">
        <v>4044792</v>
      </c>
      <c r="BI114" s="25">
        <v>4407832</v>
      </c>
      <c r="BJ114" s="24">
        <v>5407206</v>
      </c>
      <c r="BK114" s="24">
        <v>5671195</v>
      </c>
      <c r="BL114" s="24">
        <v>5597502</v>
      </c>
      <c r="BM114" s="24">
        <v>6312688</v>
      </c>
      <c r="BN114" s="24">
        <v>7053633</v>
      </c>
      <c r="BO114" s="24">
        <v>7791456</v>
      </c>
      <c r="BP114" s="232">
        <v>7262030</v>
      </c>
      <c r="BQ114" s="24">
        <v>7293446</v>
      </c>
      <c r="BR114" s="232">
        <v>8417649</v>
      </c>
      <c r="BS114" s="24">
        <v>9475187</v>
      </c>
      <c r="BT114" s="24">
        <v>8170965</v>
      </c>
      <c r="BU114" s="24">
        <v>9104141</v>
      </c>
      <c r="BV114" s="170">
        <v>9125293</v>
      </c>
      <c r="BW114" s="25">
        <v>10124086</v>
      </c>
      <c r="BX114" s="25">
        <v>9807707</v>
      </c>
      <c r="BY114" s="25">
        <v>11592205</v>
      </c>
      <c r="BZ114" s="24">
        <v>11423333</v>
      </c>
      <c r="CA114" s="24">
        <v>20193512</v>
      </c>
      <c r="CB114" s="24">
        <v>19413403</v>
      </c>
      <c r="CC114" s="24">
        <v>21672068</v>
      </c>
      <c r="CD114" s="24">
        <v>24267447</v>
      </c>
      <c r="CE114" s="24">
        <v>36604732</v>
      </c>
      <c r="CF114" s="24">
        <v>27995367</v>
      </c>
      <c r="CG114" s="24">
        <v>28048994</v>
      </c>
      <c r="CH114" s="24">
        <v>28669951</v>
      </c>
      <c r="CI114" s="24">
        <v>28053005</v>
      </c>
      <c r="CJ114" s="24">
        <v>19704199</v>
      </c>
      <c r="CK114" s="24">
        <v>19635311</v>
      </c>
      <c r="CL114" s="24">
        <v>18458332</v>
      </c>
      <c r="CM114" s="24">
        <v>20663053</v>
      </c>
      <c r="CN114" s="24">
        <v>18342783</v>
      </c>
      <c r="CO114" s="24">
        <v>18006484</v>
      </c>
      <c r="CP114" s="24">
        <v>17433696</v>
      </c>
      <c r="CQ114" s="24">
        <v>21001579</v>
      </c>
      <c r="CR114" s="25">
        <v>20763648</v>
      </c>
      <c r="CS114" s="25">
        <v>22038457</v>
      </c>
      <c r="CT114" s="25">
        <v>22167980</v>
      </c>
      <c r="CU114" s="69">
        <v>26790682</v>
      </c>
    </row>
    <row r="115" spans="1:99" ht="15" x14ac:dyDescent="0.2">
      <c r="A115" s="23" t="s">
        <v>236</v>
      </c>
      <c r="B115" s="231"/>
      <c r="C115" s="269" t="s">
        <v>49</v>
      </c>
      <c r="D115" s="269" t="s">
        <v>49</v>
      </c>
      <c r="E115" s="269" t="s">
        <v>49</v>
      </c>
      <c r="F115" s="269" t="s">
        <v>49</v>
      </c>
      <c r="G115" s="269" t="s">
        <v>49</v>
      </c>
      <c r="H115" s="269" t="s">
        <v>49</v>
      </c>
      <c r="I115" s="269" t="s">
        <v>49</v>
      </c>
      <c r="J115" s="269" t="s">
        <v>49</v>
      </c>
      <c r="K115" s="269" t="s">
        <v>49</v>
      </c>
      <c r="L115" s="269" t="s">
        <v>49</v>
      </c>
      <c r="M115" s="269" t="s">
        <v>49</v>
      </c>
      <c r="N115" s="269" t="s">
        <v>49</v>
      </c>
      <c r="O115" s="269" t="s">
        <v>49</v>
      </c>
      <c r="P115" s="269" t="s">
        <v>49</v>
      </c>
      <c r="Q115" s="269" t="s">
        <v>49</v>
      </c>
      <c r="R115" s="269" t="s">
        <v>49</v>
      </c>
      <c r="S115" s="269" t="s">
        <v>49</v>
      </c>
      <c r="T115" s="269" t="s">
        <v>49</v>
      </c>
      <c r="U115" s="269" t="s">
        <v>49</v>
      </c>
      <c r="V115" s="269" t="s">
        <v>49</v>
      </c>
      <c r="W115" s="269" t="s">
        <v>49</v>
      </c>
      <c r="X115" s="269" t="s">
        <v>49</v>
      </c>
      <c r="Y115" s="269" t="s">
        <v>49</v>
      </c>
      <c r="Z115" s="269" t="s">
        <v>49</v>
      </c>
      <c r="AA115" s="269" t="s">
        <v>49</v>
      </c>
      <c r="AB115" s="269" t="s">
        <v>49</v>
      </c>
      <c r="AC115" s="269" t="s">
        <v>49</v>
      </c>
      <c r="AD115" s="269" t="s">
        <v>49</v>
      </c>
      <c r="AE115" s="269" t="s">
        <v>49</v>
      </c>
      <c r="AF115" s="269" t="s">
        <v>49</v>
      </c>
      <c r="AG115" s="269" t="s">
        <v>49</v>
      </c>
      <c r="AH115" s="269" t="s">
        <v>49</v>
      </c>
      <c r="AI115" s="269" t="s">
        <v>49</v>
      </c>
      <c r="AJ115" s="269" t="s">
        <v>49</v>
      </c>
      <c r="AK115" s="269" t="s">
        <v>49</v>
      </c>
      <c r="AL115" s="269" t="s">
        <v>49</v>
      </c>
      <c r="AM115" s="269" t="s">
        <v>49</v>
      </c>
      <c r="AN115" s="269" t="s">
        <v>49</v>
      </c>
      <c r="AO115" s="269" t="s">
        <v>49</v>
      </c>
      <c r="AP115" s="269" t="s">
        <v>49</v>
      </c>
      <c r="AQ115" s="269" t="s">
        <v>49</v>
      </c>
      <c r="AR115" s="269" t="s">
        <v>49</v>
      </c>
      <c r="AS115" s="269" t="s">
        <v>49</v>
      </c>
      <c r="AT115" s="269" t="s">
        <v>49</v>
      </c>
      <c r="AU115" s="269" t="s">
        <v>49</v>
      </c>
      <c r="AV115" s="269" t="s">
        <v>49</v>
      </c>
      <c r="AW115" s="269" t="s">
        <v>49</v>
      </c>
      <c r="AX115" s="269" t="s">
        <v>49</v>
      </c>
      <c r="AY115" s="269" t="s">
        <v>49</v>
      </c>
      <c r="AZ115" s="269" t="s">
        <v>49</v>
      </c>
      <c r="BA115" s="269" t="s">
        <v>49</v>
      </c>
      <c r="BB115" s="269" t="s">
        <v>49</v>
      </c>
      <c r="BC115" s="269" t="s">
        <v>49</v>
      </c>
      <c r="BD115" s="269" t="s">
        <v>49</v>
      </c>
      <c r="BE115" s="269" t="s">
        <v>49</v>
      </c>
      <c r="BF115" s="269" t="s">
        <v>49</v>
      </c>
      <c r="BG115" s="269" t="s">
        <v>49</v>
      </c>
      <c r="BH115" s="269" t="s">
        <v>49</v>
      </c>
      <c r="BI115" s="269" t="s">
        <v>49</v>
      </c>
      <c r="BJ115" s="269" t="s">
        <v>49</v>
      </c>
      <c r="BK115" s="24">
        <v>3105235</v>
      </c>
      <c r="BL115" s="24">
        <v>2906648</v>
      </c>
      <c r="BM115" s="24">
        <v>3100272</v>
      </c>
      <c r="BN115" s="24">
        <v>3506966</v>
      </c>
      <c r="BO115" s="24">
        <v>3585630</v>
      </c>
      <c r="BP115" s="232">
        <v>3145854</v>
      </c>
      <c r="BQ115" s="24">
        <v>3296998</v>
      </c>
      <c r="BR115" s="232">
        <v>3890364</v>
      </c>
      <c r="BS115" s="24">
        <v>3973566</v>
      </c>
      <c r="BT115" s="24">
        <v>3306727</v>
      </c>
      <c r="BU115" s="24">
        <v>3956583</v>
      </c>
      <c r="BV115" s="170">
        <v>3804824</v>
      </c>
      <c r="BW115" s="25">
        <v>3992247</v>
      </c>
      <c r="BX115" s="25">
        <v>4070870</v>
      </c>
      <c r="BY115" s="25">
        <v>4764148</v>
      </c>
      <c r="BZ115" s="24">
        <v>4677220</v>
      </c>
      <c r="CA115" s="24">
        <v>9169803</v>
      </c>
      <c r="CB115" s="24">
        <v>9203774</v>
      </c>
      <c r="CC115" s="24">
        <v>10823861</v>
      </c>
      <c r="CD115" s="24">
        <v>11571976</v>
      </c>
      <c r="CE115" s="24">
        <v>17713520</v>
      </c>
      <c r="CF115" s="24">
        <v>13666839</v>
      </c>
      <c r="CG115" s="24">
        <v>13345905</v>
      </c>
      <c r="CH115" s="24">
        <v>13959556</v>
      </c>
      <c r="CI115" s="24">
        <v>13035211</v>
      </c>
      <c r="CJ115" s="24">
        <v>9491320</v>
      </c>
      <c r="CK115" s="24">
        <v>9309736</v>
      </c>
      <c r="CL115" s="24">
        <v>8603701</v>
      </c>
      <c r="CM115" s="24">
        <v>10043929</v>
      </c>
      <c r="CN115" s="24">
        <v>8427112</v>
      </c>
      <c r="CO115" s="24">
        <v>7695367</v>
      </c>
      <c r="CP115" s="24">
        <v>7430796</v>
      </c>
      <c r="CQ115" s="24">
        <v>9267705</v>
      </c>
      <c r="CR115" s="25">
        <v>9002265</v>
      </c>
      <c r="CS115" s="25">
        <v>9551430</v>
      </c>
      <c r="CT115" s="25">
        <v>9991016</v>
      </c>
      <c r="CU115" s="69">
        <v>11714337</v>
      </c>
    </row>
    <row r="116" spans="1:99" x14ac:dyDescent="0.2">
      <c r="A116" s="23" t="s">
        <v>105</v>
      </c>
      <c r="B116" s="231"/>
      <c r="C116" s="269" t="s">
        <v>49</v>
      </c>
      <c r="D116" s="269" t="s">
        <v>49</v>
      </c>
      <c r="E116" s="269" t="s">
        <v>49</v>
      </c>
      <c r="F116" s="269" t="s">
        <v>49</v>
      </c>
      <c r="G116" s="269" t="s">
        <v>49</v>
      </c>
      <c r="H116" s="269" t="s">
        <v>49</v>
      </c>
      <c r="I116" s="269" t="s">
        <v>49</v>
      </c>
      <c r="J116" s="269" t="s">
        <v>49</v>
      </c>
      <c r="K116" s="269" t="s">
        <v>49</v>
      </c>
      <c r="L116" s="269" t="s">
        <v>49</v>
      </c>
      <c r="M116" s="269" t="s">
        <v>49</v>
      </c>
      <c r="N116" s="269" t="s">
        <v>49</v>
      </c>
      <c r="O116" s="269" t="s">
        <v>49</v>
      </c>
      <c r="P116" s="269" t="s">
        <v>49</v>
      </c>
      <c r="Q116" s="269" t="s">
        <v>49</v>
      </c>
      <c r="R116" s="269" t="s">
        <v>49</v>
      </c>
      <c r="S116" s="269" t="s">
        <v>49</v>
      </c>
      <c r="T116" s="269" t="s">
        <v>49</v>
      </c>
      <c r="U116" s="269" t="s">
        <v>49</v>
      </c>
      <c r="V116" s="269" t="s">
        <v>49</v>
      </c>
      <c r="W116" s="269" t="s">
        <v>49</v>
      </c>
      <c r="X116" s="269" t="s">
        <v>49</v>
      </c>
      <c r="Y116" s="269" t="s">
        <v>49</v>
      </c>
      <c r="Z116" s="269" t="s">
        <v>49</v>
      </c>
      <c r="AA116" s="269" t="s">
        <v>49</v>
      </c>
      <c r="AB116" s="269" t="s">
        <v>49</v>
      </c>
      <c r="AC116" s="269" t="s">
        <v>49</v>
      </c>
      <c r="AD116" s="269" t="s">
        <v>49</v>
      </c>
      <c r="AE116" s="269" t="s">
        <v>49</v>
      </c>
      <c r="AF116" s="269" t="s">
        <v>49</v>
      </c>
      <c r="AG116" s="269" t="s">
        <v>49</v>
      </c>
      <c r="AH116" s="269" t="s">
        <v>49</v>
      </c>
      <c r="AI116" s="269" t="s">
        <v>49</v>
      </c>
      <c r="AJ116" s="269" t="s">
        <v>49</v>
      </c>
      <c r="AK116" s="269" t="s">
        <v>49</v>
      </c>
      <c r="AL116" s="269" t="s">
        <v>49</v>
      </c>
      <c r="AM116" s="269" t="s">
        <v>49</v>
      </c>
      <c r="AN116" s="269" t="s">
        <v>49</v>
      </c>
      <c r="AO116" s="269" t="s">
        <v>49</v>
      </c>
      <c r="AP116" s="269" t="s">
        <v>49</v>
      </c>
      <c r="AQ116" s="269" t="s">
        <v>49</v>
      </c>
      <c r="AR116" s="269" t="s">
        <v>49</v>
      </c>
      <c r="AS116" s="269" t="s">
        <v>49</v>
      </c>
      <c r="AT116" s="269" t="s">
        <v>49</v>
      </c>
      <c r="AU116" s="269" t="s">
        <v>49</v>
      </c>
      <c r="AV116" s="269" t="s">
        <v>49</v>
      </c>
      <c r="AW116" s="269" t="s">
        <v>49</v>
      </c>
      <c r="AX116" s="269" t="s">
        <v>49</v>
      </c>
      <c r="AY116" s="24">
        <v>122227.71425812437</v>
      </c>
      <c r="AZ116" s="24">
        <v>104561.448672036</v>
      </c>
      <c r="BA116" s="24">
        <v>119273.73946370557</v>
      </c>
      <c r="BB116" s="24">
        <v>127144.5993297752</v>
      </c>
      <c r="BC116" s="24">
        <v>153637.51264599239</v>
      </c>
      <c r="BD116" s="24">
        <v>132591.05050347646</v>
      </c>
      <c r="BE116" s="24">
        <v>134034.95254197123</v>
      </c>
      <c r="BF116" s="24">
        <v>167675.66693025085</v>
      </c>
      <c r="BG116" s="24">
        <v>174512.21389361875</v>
      </c>
      <c r="BH116" s="24">
        <v>173945.47665528033</v>
      </c>
      <c r="BI116" s="232">
        <v>194706.8902501518</v>
      </c>
      <c r="BJ116" s="24">
        <v>247769.72114975136</v>
      </c>
      <c r="BK116" s="24">
        <v>202055.37044750983</v>
      </c>
      <c r="BL116" s="24">
        <v>176929.21726146975</v>
      </c>
      <c r="BM116" s="24">
        <v>178010.73876488983</v>
      </c>
      <c r="BN116" s="24">
        <v>189226.36841802008</v>
      </c>
      <c r="BO116" s="24">
        <v>187418.13328682038</v>
      </c>
      <c r="BP116" s="232">
        <v>166488.63802178012</v>
      </c>
      <c r="BQ116" s="24">
        <v>170674.97144208962</v>
      </c>
      <c r="BR116" s="232">
        <v>180790.07457259012</v>
      </c>
      <c r="BS116" s="24">
        <v>200818.29619358008</v>
      </c>
      <c r="BT116" s="24">
        <v>162522.22771270981</v>
      </c>
      <c r="BU116" s="24">
        <v>186152.91279198966</v>
      </c>
      <c r="BV116" s="170">
        <v>188713.88397245971</v>
      </c>
      <c r="BW116" s="25">
        <v>193643.87153481977</v>
      </c>
      <c r="BX116" s="25">
        <v>172540.53464277968</v>
      </c>
      <c r="BY116" s="25">
        <v>191933.91578035953</v>
      </c>
      <c r="BZ116" s="24">
        <v>202888.69627287073</v>
      </c>
      <c r="CA116" s="24">
        <v>399933.3190082818</v>
      </c>
      <c r="CB116" s="24">
        <v>358623.21496106993</v>
      </c>
      <c r="CC116" s="24">
        <v>363595.90239685943</v>
      </c>
      <c r="CD116" s="24">
        <v>385743.42730020941</v>
      </c>
      <c r="CE116" s="24">
        <v>530606.26882220979</v>
      </c>
      <c r="CF116" s="24">
        <v>424341.47882341896</v>
      </c>
      <c r="CG116" s="24">
        <v>439202.07492458948</v>
      </c>
      <c r="CH116" s="24">
        <v>478451.60061248916</v>
      </c>
      <c r="CI116" s="24">
        <v>477914.90173355996</v>
      </c>
      <c r="CJ116" s="24">
        <v>308809.28883919999</v>
      </c>
      <c r="CK116" s="24">
        <v>306815.79866396973</v>
      </c>
      <c r="CL116" s="24">
        <v>306325.55477221083</v>
      </c>
      <c r="CM116" s="24">
        <v>329766.939497958</v>
      </c>
      <c r="CN116" s="24">
        <v>243579.18320270925</v>
      </c>
      <c r="CO116" s="24">
        <v>246258.1958124493</v>
      </c>
      <c r="CP116" s="24">
        <v>252124.57181897984</v>
      </c>
      <c r="CQ116" s="24">
        <v>316922.62996677827</v>
      </c>
      <c r="CR116" s="25">
        <v>305003.77130129986</v>
      </c>
      <c r="CS116" s="25">
        <v>335787.91670543392</v>
      </c>
      <c r="CT116" s="25">
        <v>358796.40464980411</v>
      </c>
      <c r="CU116" s="69">
        <v>476412.87494514964</v>
      </c>
    </row>
    <row r="117" spans="1:99" ht="15" x14ac:dyDescent="0.2">
      <c r="A117" s="23" t="s">
        <v>237</v>
      </c>
      <c r="B117" s="231"/>
      <c r="C117" s="269" t="s">
        <v>49</v>
      </c>
      <c r="D117" s="269" t="s">
        <v>49</v>
      </c>
      <c r="E117" s="269" t="s">
        <v>49</v>
      </c>
      <c r="F117" s="269" t="s">
        <v>49</v>
      </c>
      <c r="G117" s="269" t="s">
        <v>49</v>
      </c>
      <c r="H117" s="269" t="s">
        <v>49</v>
      </c>
      <c r="I117" s="269" t="s">
        <v>49</v>
      </c>
      <c r="J117" s="269" t="s">
        <v>49</v>
      </c>
      <c r="K117" s="269" t="s">
        <v>49</v>
      </c>
      <c r="L117" s="269" t="s">
        <v>49</v>
      </c>
      <c r="M117" s="269" t="s">
        <v>49</v>
      </c>
      <c r="N117" s="269" t="s">
        <v>49</v>
      </c>
      <c r="O117" s="269" t="s">
        <v>49</v>
      </c>
      <c r="P117" s="269" t="s">
        <v>49</v>
      </c>
      <c r="Q117" s="269" t="s">
        <v>49</v>
      </c>
      <c r="R117" s="269" t="s">
        <v>49</v>
      </c>
      <c r="S117" s="269" t="s">
        <v>49</v>
      </c>
      <c r="T117" s="269" t="s">
        <v>49</v>
      </c>
      <c r="U117" s="269" t="s">
        <v>49</v>
      </c>
      <c r="V117" s="269" t="s">
        <v>49</v>
      </c>
      <c r="W117" s="269" t="s">
        <v>49</v>
      </c>
      <c r="X117" s="269" t="s">
        <v>49</v>
      </c>
      <c r="Y117" s="269" t="s">
        <v>49</v>
      </c>
      <c r="Z117" s="269" t="s">
        <v>49</v>
      </c>
      <c r="AA117" s="269" t="s">
        <v>49</v>
      </c>
      <c r="AB117" s="269" t="s">
        <v>49</v>
      </c>
      <c r="AC117" s="269" t="s">
        <v>49</v>
      </c>
      <c r="AD117" s="269" t="s">
        <v>49</v>
      </c>
      <c r="AE117" s="269" t="s">
        <v>49</v>
      </c>
      <c r="AF117" s="269" t="s">
        <v>49</v>
      </c>
      <c r="AG117" s="269" t="s">
        <v>49</v>
      </c>
      <c r="AH117" s="269" t="s">
        <v>49</v>
      </c>
      <c r="AI117" s="269" t="s">
        <v>49</v>
      </c>
      <c r="AJ117" s="269" t="s">
        <v>49</v>
      </c>
      <c r="AK117" s="269" t="s">
        <v>49</v>
      </c>
      <c r="AL117" s="269" t="s">
        <v>49</v>
      </c>
      <c r="AM117" s="269" t="s">
        <v>49</v>
      </c>
      <c r="AN117" s="269" t="s">
        <v>49</v>
      </c>
      <c r="AO117" s="269" t="s">
        <v>49</v>
      </c>
      <c r="AP117" s="269" t="s">
        <v>49</v>
      </c>
      <c r="AQ117" s="269" t="s">
        <v>49</v>
      </c>
      <c r="AR117" s="269" t="s">
        <v>49</v>
      </c>
      <c r="AS117" s="269" t="s">
        <v>49</v>
      </c>
      <c r="AT117" s="269" t="s">
        <v>49</v>
      </c>
      <c r="AU117" s="269" t="s">
        <v>49</v>
      </c>
      <c r="AV117" s="269" t="s">
        <v>49</v>
      </c>
      <c r="AW117" s="269" t="s">
        <v>49</v>
      </c>
      <c r="AX117" s="269" t="s">
        <v>49</v>
      </c>
      <c r="AY117" s="24">
        <v>79470.23734591846</v>
      </c>
      <c r="AZ117" s="24">
        <v>66058.030650841392</v>
      </c>
      <c r="BA117" s="24">
        <v>80983.375613066441</v>
      </c>
      <c r="BB117" s="24">
        <v>84828.983610159688</v>
      </c>
      <c r="BC117" s="24">
        <v>98677.149796212994</v>
      </c>
      <c r="BD117" s="24">
        <v>83638.261641188088</v>
      </c>
      <c r="BE117" s="24">
        <v>82211.383626819836</v>
      </c>
      <c r="BF117" s="24">
        <v>100737.93170172693</v>
      </c>
      <c r="BG117" s="24">
        <v>145169.24919583803</v>
      </c>
      <c r="BH117" s="24">
        <v>144202.03018855338</v>
      </c>
      <c r="BI117" s="232">
        <v>167352.66261884771</v>
      </c>
      <c r="BJ117" s="24">
        <v>221817.38741790081</v>
      </c>
      <c r="BK117" s="24">
        <v>168271.05635940001</v>
      </c>
      <c r="BL117" s="24">
        <v>149790.11181480996</v>
      </c>
      <c r="BM117" s="24">
        <v>143933.10623557013</v>
      </c>
      <c r="BN117" s="24">
        <v>152990.0819881701</v>
      </c>
      <c r="BO117" s="24">
        <v>147165.61446516996</v>
      </c>
      <c r="BP117" s="232">
        <v>128275.43633029002</v>
      </c>
      <c r="BQ117" s="24">
        <v>133648.94465943993</v>
      </c>
      <c r="BR117" s="232">
        <v>139907.56670028003</v>
      </c>
      <c r="BS117" s="24">
        <v>143485.76694348999</v>
      </c>
      <c r="BT117" s="24">
        <v>119943.5221076</v>
      </c>
      <c r="BU117" s="24">
        <v>134205.04036695982</v>
      </c>
      <c r="BV117" s="170">
        <v>134744.88481388995</v>
      </c>
      <c r="BW117" s="25">
        <v>142281.99203869002</v>
      </c>
      <c r="BX117" s="25">
        <v>125752.08803654998</v>
      </c>
      <c r="BY117" s="25">
        <v>140803.7417298099</v>
      </c>
      <c r="BZ117" s="24">
        <v>148958.18289446997</v>
      </c>
      <c r="CA117" s="24">
        <v>282354.21338509</v>
      </c>
      <c r="CB117" s="24">
        <v>277834.50745608023</v>
      </c>
      <c r="CC117" s="24">
        <v>288207.45364977984</v>
      </c>
      <c r="CD117" s="24">
        <v>300385.5275008899</v>
      </c>
      <c r="CE117" s="24">
        <v>422337.52375935001</v>
      </c>
      <c r="CF117" s="24">
        <v>337468.08423314005</v>
      </c>
      <c r="CG117" s="24">
        <v>343587.55654701963</v>
      </c>
      <c r="CH117" s="24">
        <v>382949.27956840955</v>
      </c>
      <c r="CI117" s="24">
        <v>364842.30825844035</v>
      </c>
      <c r="CJ117" s="24">
        <v>238361.76324148042</v>
      </c>
      <c r="CK117" s="24">
        <v>232385.0049318801</v>
      </c>
      <c r="CL117" s="24">
        <v>233082.90601999109</v>
      </c>
      <c r="CM117" s="24">
        <v>255241.86645143892</v>
      </c>
      <c r="CN117" s="24">
        <v>185778.97412316001</v>
      </c>
      <c r="CO117" s="24">
        <v>175752.88178862006</v>
      </c>
      <c r="CP117" s="24">
        <v>180885.47244981042</v>
      </c>
      <c r="CQ117" s="24">
        <v>230416.44735436881</v>
      </c>
      <c r="CR117" s="25">
        <v>221008.93374143052</v>
      </c>
      <c r="CS117" s="25">
        <v>236631.15363873472</v>
      </c>
      <c r="CT117" s="25">
        <v>254038.70211430397</v>
      </c>
      <c r="CU117" s="69">
        <v>326138.20231538836</v>
      </c>
    </row>
    <row r="118" spans="1:99" x14ac:dyDescent="0.2">
      <c r="A118" s="23" t="s">
        <v>148</v>
      </c>
      <c r="B118" s="231"/>
      <c r="C118" s="269" t="s">
        <v>49</v>
      </c>
      <c r="D118" s="269" t="s">
        <v>49</v>
      </c>
      <c r="E118" s="269" t="s">
        <v>49</v>
      </c>
      <c r="F118" s="269" t="s">
        <v>49</v>
      </c>
      <c r="G118" s="269" t="s">
        <v>49</v>
      </c>
      <c r="H118" s="269" t="s">
        <v>49</v>
      </c>
      <c r="I118" s="269" t="s">
        <v>49</v>
      </c>
      <c r="J118" s="269" t="s">
        <v>49</v>
      </c>
      <c r="K118" s="269" t="s">
        <v>49</v>
      </c>
      <c r="L118" s="269" t="s">
        <v>49</v>
      </c>
      <c r="M118" s="269" t="s">
        <v>49</v>
      </c>
      <c r="N118" s="269" t="s">
        <v>49</v>
      </c>
      <c r="O118" s="269" t="s">
        <v>49</v>
      </c>
      <c r="P118" s="269" t="s">
        <v>49</v>
      </c>
      <c r="Q118" s="269" t="s">
        <v>49</v>
      </c>
      <c r="R118" s="269" t="s">
        <v>49</v>
      </c>
      <c r="S118" s="269" t="s">
        <v>49</v>
      </c>
      <c r="T118" s="269" t="s">
        <v>49</v>
      </c>
      <c r="U118" s="269" t="s">
        <v>49</v>
      </c>
      <c r="V118" s="269" t="s">
        <v>49</v>
      </c>
      <c r="W118" s="269" t="s">
        <v>49</v>
      </c>
      <c r="X118" s="269" t="s">
        <v>49</v>
      </c>
      <c r="Y118" s="269" t="s">
        <v>49</v>
      </c>
      <c r="Z118" s="269" t="s">
        <v>49</v>
      </c>
      <c r="AA118" s="269" t="s">
        <v>49</v>
      </c>
      <c r="AB118" s="269" t="s">
        <v>49</v>
      </c>
      <c r="AC118" s="269" t="s">
        <v>49</v>
      </c>
      <c r="AD118" s="269" t="s">
        <v>49</v>
      </c>
      <c r="AE118" s="269" t="s">
        <v>49</v>
      </c>
      <c r="AF118" s="269" t="s">
        <v>49</v>
      </c>
      <c r="AG118" s="269" t="s">
        <v>49</v>
      </c>
      <c r="AH118" s="269" t="s">
        <v>49</v>
      </c>
      <c r="AI118" s="269" t="s">
        <v>49</v>
      </c>
      <c r="AJ118" s="269" t="s">
        <v>49</v>
      </c>
      <c r="AK118" s="269" t="s">
        <v>49</v>
      </c>
      <c r="AL118" s="269" t="s">
        <v>49</v>
      </c>
      <c r="AM118" s="269" t="s">
        <v>49</v>
      </c>
      <c r="AN118" s="269" t="s">
        <v>49</v>
      </c>
      <c r="AO118" s="269" t="s">
        <v>49</v>
      </c>
      <c r="AP118" s="269" t="s">
        <v>49</v>
      </c>
      <c r="AQ118" s="269" t="s">
        <v>49</v>
      </c>
      <c r="AR118" s="269" t="s">
        <v>49</v>
      </c>
      <c r="AS118" s="269" t="s">
        <v>49</v>
      </c>
      <c r="AT118" s="269" t="s">
        <v>49</v>
      </c>
      <c r="AU118" s="269" t="s">
        <v>49</v>
      </c>
      <c r="AV118" s="269" t="s">
        <v>49</v>
      </c>
      <c r="AW118" s="269" t="s">
        <v>49</v>
      </c>
      <c r="AX118" s="269" t="str">
        <f>AX115</f>
        <v>-</v>
      </c>
      <c r="AY118" s="269" t="s">
        <v>49</v>
      </c>
      <c r="AZ118" s="269" t="s">
        <v>49</v>
      </c>
      <c r="BA118" s="269" t="s">
        <v>49</v>
      </c>
      <c r="BB118" s="269" t="s">
        <v>49</v>
      </c>
      <c r="BC118" s="269" t="s">
        <v>49</v>
      </c>
      <c r="BD118" s="269" t="s">
        <v>49</v>
      </c>
      <c r="BE118" s="269" t="s">
        <v>49</v>
      </c>
      <c r="BF118" s="269" t="s">
        <v>49</v>
      </c>
      <c r="BG118" s="269" t="s">
        <v>49</v>
      </c>
      <c r="BH118" s="269" t="s">
        <v>49</v>
      </c>
      <c r="BI118" s="269" t="s">
        <v>49</v>
      </c>
      <c r="BJ118" s="269" t="s">
        <v>49</v>
      </c>
      <c r="BK118" s="269" t="s">
        <v>49</v>
      </c>
      <c r="BL118" s="269" t="s">
        <v>49</v>
      </c>
      <c r="BM118" s="269" t="s">
        <v>49</v>
      </c>
      <c r="BN118" s="269" t="s">
        <v>49</v>
      </c>
      <c r="BO118" s="269" t="s">
        <v>49</v>
      </c>
      <c r="BP118" s="269" t="s">
        <v>49</v>
      </c>
      <c r="BQ118" s="269" t="s">
        <v>49</v>
      </c>
      <c r="BR118" s="269" t="s">
        <v>49</v>
      </c>
      <c r="BS118" s="269" t="s">
        <v>49</v>
      </c>
      <c r="BT118" s="269" t="s">
        <v>49</v>
      </c>
      <c r="BU118" s="54" t="s">
        <v>49</v>
      </c>
      <c r="BV118" s="284" t="s">
        <v>49</v>
      </c>
      <c r="BW118" s="269" t="s">
        <v>49</v>
      </c>
      <c r="BX118" s="269" t="s">
        <v>49</v>
      </c>
      <c r="BY118" s="269" t="s">
        <v>49</v>
      </c>
      <c r="BZ118" s="269" t="s">
        <v>49</v>
      </c>
      <c r="CA118" s="24">
        <v>27853.050443040011</v>
      </c>
      <c r="CB118" s="24">
        <v>32992.523869479999</v>
      </c>
      <c r="CC118" s="24">
        <v>35283.792729000001</v>
      </c>
      <c r="CD118" s="24">
        <v>47609.704072</v>
      </c>
      <c r="CE118" s="24">
        <v>98224.870314999993</v>
      </c>
      <c r="CF118" s="24">
        <v>53476.347282419993</v>
      </c>
      <c r="CG118" s="24">
        <v>50647.427292560002</v>
      </c>
      <c r="CH118" s="24">
        <v>57835.089681039899</v>
      </c>
      <c r="CI118" s="24">
        <v>56222.070800699905</v>
      </c>
      <c r="CJ118" s="24">
        <v>37715.144628380091</v>
      </c>
      <c r="CK118" s="24">
        <v>33715.206644670019</v>
      </c>
      <c r="CL118" s="24">
        <v>26372.140978839911</v>
      </c>
      <c r="CM118" s="24">
        <v>36082.166449199998</v>
      </c>
      <c r="CN118" s="24">
        <v>28877.540823180105</v>
      </c>
      <c r="CO118" s="24">
        <v>31580.966850950004</v>
      </c>
      <c r="CP118" s="24">
        <v>29372.729048725938</v>
      </c>
      <c r="CQ118" s="24">
        <v>44491.580929008269</v>
      </c>
      <c r="CR118" s="25">
        <v>45737.306966594493</v>
      </c>
      <c r="CS118" s="25">
        <v>50097.5513058223</v>
      </c>
      <c r="CT118" s="25">
        <v>73366.450299213291</v>
      </c>
      <c r="CU118" s="69">
        <v>82747.599907213327</v>
      </c>
    </row>
    <row r="119" spans="1:99" x14ac:dyDescent="0.2">
      <c r="A119" s="23" t="s">
        <v>177</v>
      </c>
      <c r="B119" s="231"/>
      <c r="C119" s="269" t="s">
        <v>49</v>
      </c>
      <c r="D119" s="269" t="s">
        <v>49</v>
      </c>
      <c r="E119" s="269" t="s">
        <v>49</v>
      </c>
      <c r="F119" s="269" t="s">
        <v>49</v>
      </c>
      <c r="G119" s="269" t="s">
        <v>49</v>
      </c>
      <c r="H119" s="269" t="s">
        <v>49</v>
      </c>
      <c r="I119" s="269" t="s">
        <v>49</v>
      </c>
      <c r="J119" s="269" t="s">
        <v>49</v>
      </c>
      <c r="K119" s="269" t="s">
        <v>49</v>
      </c>
      <c r="L119" s="269" t="s">
        <v>49</v>
      </c>
      <c r="M119" s="269" t="s">
        <v>49</v>
      </c>
      <c r="N119" s="269" t="s">
        <v>49</v>
      </c>
      <c r="O119" s="269" t="s">
        <v>49</v>
      </c>
      <c r="P119" s="269" t="s">
        <v>49</v>
      </c>
      <c r="Q119" s="269" t="s">
        <v>49</v>
      </c>
      <c r="R119" s="269" t="s">
        <v>49</v>
      </c>
      <c r="S119" s="269" t="s">
        <v>49</v>
      </c>
      <c r="T119" s="269" t="s">
        <v>49</v>
      </c>
      <c r="U119" s="269" t="s">
        <v>49</v>
      </c>
      <c r="V119" s="269" t="s">
        <v>49</v>
      </c>
      <c r="W119" s="269" t="s">
        <v>49</v>
      </c>
      <c r="X119" s="269" t="s">
        <v>49</v>
      </c>
      <c r="Y119" s="269" t="s">
        <v>49</v>
      </c>
      <c r="Z119" s="269" t="s">
        <v>49</v>
      </c>
      <c r="AA119" s="269" t="s">
        <v>49</v>
      </c>
      <c r="AB119" s="269" t="s">
        <v>49</v>
      </c>
      <c r="AC119" s="269" t="s">
        <v>49</v>
      </c>
      <c r="AD119" s="269" t="s">
        <v>49</v>
      </c>
      <c r="AE119" s="269" t="s">
        <v>49</v>
      </c>
      <c r="AF119" s="269" t="s">
        <v>49</v>
      </c>
      <c r="AG119" s="269" t="s">
        <v>49</v>
      </c>
      <c r="AH119" s="269" t="s">
        <v>49</v>
      </c>
      <c r="AI119" s="269" t="s">
        <v>49</v>
      </c>
      <c r="AJ119" s="269" t="s">
        <v>49</v>
      </c>
      <c r="AK119" s="269" t="s">
        <v>49</v>
      </c>
      <c r="AL119" s="269" t="s">
        <v>49</v>
      </c>
      <c r="AM119" s="269" t="s">
        <v>49</v>
      </c>
      <c r="AN119" s="269" t="s">
        <v>49</v>
      </c>
      <c r="AO119" s="269" t="s">
        <v>49</v>
      </c>
      <c r="AP119" s="269" t="s">
        <v>49</v>
      </c>
      <c r="AQ119" s="269" t="s">
        <v>49</v>
      </c>
      <c r="AR119" s="269" t="s">
        <v>49</v>
      </c>
      <c r="AS119" s="269" t="s">
        <v>49</v>
      </c>
      <c r="AT119" s="269" t="s">
        <v>49</v>
      </c>
      <c r="AU119" s="269" t="s">
        <v>49</v>
      </c>
      <c r="AV119" s="269" t="s">
        <v>49</v>
      </c>
      <c r="AW119" s="269" t="s">
        <v>49</v>
      </c>
      <c r="AX119" s="269" t="s">
        <v>49</v>
      </c>
      <c r="AY119" s="269" t="s">
        <v>49</v>
      </c>
      <c r="AZ119" s="269" t="s">
        <v>49</v>
      </c>
      <c r="BA119" s="269" t="s">
        <v>49</v>
      </c>
      <c r="BB119" s="269" t="s">
        <v>49</v>
      </c>
      <c r="BC119" s="269" t="s">
        <v>49</v>
      </c>
      <c r="BD119" s="269" t="s">
        <v>49</v>
      </c>
      <c r="BE119" s="269" t="s">
        <v>49</v>
      </c>
      <c r="BF119" s="269" t="s">
        <v>49</v>
      </c>
      <c r="BG119" s="269" t="s">
        <v>49</v>
      </c>
      <c r="BH119" s="269" t="s">
        <v>49</v>
      </c>
      <c r="BI119" s="269" t="s">
        <v>49</v>
      </c>
      <c r="BJ119" s="269" t="s">
        <v>49</v>
      </c>
      <c r="BK119" s="24">
        <f t="shared" ref="BK119:CP119" si="76">BK115/BK125</f>
        <v>51753.916666666664</v>
      </c>
      <c r="BL119" s="24">
        <f t="shared" si="76"/>
        <v>47262.569105691058</v>
      </c>
      <c r="BM119" s="24">
        <f t="shared" si="76"/>
        <v>46973.818181818184</v>
      </c>
      <c r="BN119" s="24">
        <f t="shared" si="76"/>
        <v>55227.811023622045</v>
      </c>
      <c r="BO119" s="24">
        <f t="shared" si="76"/>
        <v>56466.614173228343</v>
      </c>
      <c r="BP119" s="24">
        <f t="shared" si="76"/>
        <v>54238.862068965514</v>
      </c>
      <c r="BQ119" s="24">
        <f t="shared" si="76"/>
        <v>50723.046153846153</v>
      </c>
      <c r="BR119" s="24">
        <f t="shared" si="76"/>
        <v>62245.824000000001</v>
      </c>
      <c r="BS119" s="24">
        <f t="shared" si="76"/>
        <v>64089.774193548386</v>
      </c>
      <c r="BT119" s="24">
        <f t="shared" si="76"/>
        <v>56046.220338983054</v>
      </c>
      <c r="BU119" s="24">
        <f t="shared" si="76"/>
        <v>60870.507692307692</v>
      </c>
      <c r="BV119" s="170">
        <f t="shared" si="76"/>
        <v>61867.056910569103</v>
      </c>
      <c r="BW119" s="24">
        <f t="shared" si="76"/>
        <v>63369</v>
      </c>
      <c r="BX119" s="24">
        <f t="shared" si="76"/>
        <v>70797.739130434784</v>
      </c>
      <c r="BY119" s="24">
        <f t="shared" si="76"/>
        <v>72184.060606060608</v>
      </c>
      <c r="BZ119" s="24">
        <f t="shared" si="76"/>
        <v>76052.357723577239</v>
      </c>
      <c r="CA119" s="24">
        <f t="shared" si="76"/>
        <v>145552.42857142858</v>
      </c>
      <c r="CB119" s="24">
        <f t="shared" si="76"/>
        <v>157329.47008547009</v>
      </c>
      <c r="CC119" s="24">
        <f t="shared" si="76"/>
        <v>163997.89393939395</v>
      </c>
      <c r="CD119" s="24">
        <f t="shared" si="76"/>
        <v>185151.61600000001</v>
      </c>
      <c r="CE119" s="24">
        <f t="shared" si="76"/>
        <v>288024.71544715448</v>
      </c>
      <c r="CF119" s="24">
        <f t="shared" si="76"/>
        <v>229694.77310924369</v>
      </c>
      <c r="CG119" s="24">
        <f t="shared" si="76"/>
        <v>202210.68181818182</v>
      </c>
      <c r="CH119" s="24">
        <f t="shared" si="76"/>
        <v>219835.52755905513</v>
      </c>
      <c r="CI119" s="24">
        <f t="shared" si="76"/>
        <v>208563.37599999999</v>
      </c>
      <c r="CJ119" s="24">
        <f t="shared" si="76"/>
        <v>160869.83050847458</v>
      </c>
      <c r="CK119" s="24">
        <f t="shared" si="76"/>
        <v>141056.60606060605</v>
      </c>
      <c r="CL119" s="24">
        <f t="shared" si="76"/>
        <v>135491.35433070865</v>
      </c>
      <c r="CM119" s="24">
        <f t="shared" si="76"/>
        <v>158172.11023622047</v>
      </c>
      <c r="CN119" s="24">
        <f t="shared" si="76"/>
        <v>145295.03448275861</v>
      </c>
      <c r="CO119" s="24">
        <f t="shared" si="76"/>
        <v>118390.26153846153</v>
      </c>
      <c r="CP119" s="24">
        <f t="shared" si="76"/>
        <v>118892.736</v>
      </c>
      <c r="CQ119" s="24">
        <f>CQ115/CQ125</f>
        <v>149479.11290322582</v>
      </c>
      <c r="CR119" s="25">
        <f>CR115/CR125</f>
        <v>152580.7627118644</v>
      </c>
      <c r="CS119" s="25">
        <f>CS115/CS125</f>
        <v>144718.63636363635</v>
      </c>
      <c r="CT119" s="25">
        <v>162455.54471544715</v>
      </c>
      <c r="CU119" s="69">
        <v>188940.9193548387</v>
      </c>
    </row>
    <row r="120" spans="1:99" x14ac:dyDescent="0.2">
      <c r="A120" s="58" t="s">
        <v>176</v>
      </c>
      <c r="B120" s="275"/>
      <c r="C120" s="285" t="s">
        <v>49</v>
      </c>
      <c r="D120" s="285" t="s">
        <v>49</v>
      </c>
      <c r="E120" s="285" t="s">
        <v>49</v>
      </c>
      <c r="F120" s="285" t="s">
        <v>49</v>
      </c>
      <c r="G120" s="285" t="s">
        <v>49</v>
      </c>
      <c r="H120" s="285" t="s">
        <v>49</v>
      </c>
      <c r="I120" s="285" t="s">
        <v>49</v>
      </c>
      <c r="J120" s="285" t="s">
        <v>49</v>
      </c>
      <c r="K120" s="285" t="s">
        <v>49</v>
      </c>
      <c r="L120" s="285" t="s">
        <v>49</v>
      </c>
      <c r="M120" s="285" t="s">
        <v>49</v>
      </c>
      <c r="N120" s="285" t="s">
        <v>49</v>
      </c>
      <c r="O120" s="285" t="s">
        <v>49</v>
      </c>
      <c r="P120" s="285" t="s">
        <v>49</v>
      </c>
      <c r="Q120" s="285" t="s">
        <v>49</v>
      </c>
      <c r="R120" s="285" t="s">
        <v>49</v>
      </c>
      <c r="S120" s="285" t="s">
        <v>49</v>
      </c>
      <c r="T120" s="285" t="s">
        <v>49</v>
      </c>
      <c r="U120" s="285" t="s">
        <v>49</v>
      </c>
      <c r="V120" s="285" t="s">
        <v>49</v>
      </c>
      <c r="W120" s="285" t="s">
        <v>49</v>
      </c>
      <c r="X120" s="285" t="s">
        <v>49</v>
      </c>
      <c r="Y120" s="285" t="s">
        <v>49</v>
      </c>
      <c r="Z120" s="285" t="s">
        <v>49</v>
      </c>
      <c r="AA120" s="285" t="s">
        <v>49</v>
      </c>
      <c r="AB120" s="285" t="s">
        <v>49</v>
      </c>
      <c r="AC120" s="285" t="s">
        <v>49</v>
      </c>
      <c r="AD120" s="285" t="s">
        <v>49</v>
      </c>
      <c r="AE120" s="285" t="s">
        <v>49</v>
      </c>
      <c r="AF120" s="285" t="s">
        <v>49</v>
      </c>
      <c r="AG120" s="285" t="s">
        <v>49</v>
      </c>
      <c r="AH120" s="285" t="s">
        <v>49</v>
      </c>
      <c r="AI120" s="285" t="s">
        <v>49</v>
      </c>
      <c r="AJ120" s="285" t="s">
        <v>49</v>
      </c>
      <c r="AK120" s="285" t="s">
        <v>49</v>
      </c>
      <c r="AL120" s="285" t="s">
        <v>49</v>
      </c>
      <c r="AM120" s="285" t="s">
        <v>49</v>
      </c>
      <c r="AN120" s="285" t="s">
        <v>49</v>
      </c>
      <c r="AO120" s="285" t="s">
        <v>49</v>
      </c>
      <c r="AP120" s="285" t="s">
        <v>49</v>
      </c>
      <c r="AQ120" s="285" t="s">
        <v>49</v>
      </c>
      <c r="AR120" s="285" t="s">
        <v>49</v>
      </c>
      <c r="AS120" s="285" t="s">
        <v>49</v>
      </c>
      <c r="AT120" s="285" t="s">
        <v>49</v>
      </c>
      <c r="AU120" s="285" t="s">
        <v>49</v>
      </c>
      <c r="AV120" s="285" t="s">
        <v>49</v>
      </c>
      <c r="AW120" s="285" t="s">
        <v>49</v>
      </c>
      <c r="AX120" s="285" t="s">
        <v>49</v>
      </c>
      <c r="AY120" s="59">
        <f t="shared" ref="AY120:CP120" si="77">AY117/AY125</f>
        <v>1292.1989812344466</v>
      </c>
      <c r="AZ120" s="59">
        <f t="shared" si="77"/>
        <v>1119.6276381498542</v>
      </c>
      <c r="BA120" s="59">
        <f t="shared" si="77"/>
        <v>1227.0208426222189</v>
      </c>
      <c r="BB120" s="59">
        <f t="shared" si="77"/>
        <v>1379.3330668318649</v>
      </c>
      <c r="BC120" s="59">
        <f t="shared" si="77"/>
        <v>1591.5669321969838</v>
      </c>
      <c r="BD120" s="59">
        <f t="shared" si="77"/>
        <v>1454.5784633250103</v>
      </c>
      <c r="BE120" s="59">
        <f t="shared" si="77"/>
        <v>1245.6270246487854</v>
      </c>
      <c r="BF120" s="59">
        <f t="shared" si="77"/>
        <v>1638.0151496215763</v>
      </c>
      <c r="BG120" s="59">
        <f t="shared" si="77"/>
        <v>2360.4755966802932</v>
      </c>
      <c r="BH120" s="59">
        <f t="shared" si="77"/>
        <v>2464.9919690351007</v>
      </c>
      <c r="BI120" s="59">
        <f t="shared" si="77"/>
        <v>2535.6464033158745</v>
      </c>
      <c r="BJ120" s="59">
        <f t="shared" si="77"/>
        <v>3549.0781986864131</v>
      </c>
      <c r="BK120" s="59">
        <f t="shared" si="77"/>
        <v>2804.51760599</v>
      </c>
      <c r="BL120" s="59">
        <f t="shared" si="77"/>
        <v>2435.6115742245524</v>
      </c>
      <c r="BM120" s="59">
        <f t="shared" si="77"/>
        <v>2180.8046399328809</v>
      </c>
      <c r="BN120" s="59">
        <f t="shared" si="77"/>
        <v>2409.2926297349622</v>
      </c>
      <c r="BO120" s="59">
        <f t="shared" si="77"/>
        <v>2317.5687317349598</v>
      </c>
      <c r="BP120" s="59">
        <f t="shared" si="77"/>
        <v>2211.6454539705173</v>
      </c>
      <c r="BQ120" s="59">
        <f t="shared" si="77"/>
        <v>2056.1376101452297</v>
      </c>
      <c r="BR120" s="59">
        <f t="shared" si="77"/>
        <v>2238.5210672044805</v>
      </c>
      <c r="BS120" s="59">
        <f t="shared" si="77"/>
        <v>2314.2865636046772</v>
      </c>
      <c r="BT120" s="59">
        <f t="shared" si="77"/>
        <v>2032.9410526711865</v>
      </c>
      <c r="BU120" s="59">
        <f t="shared" si="77"/>
        <v>2064.6929287224589</v>
      </c>
      <c r="BV120" s="171">
        <f t="shared" si="77"/>
        <v>2190.9737368112187</v>
      </c>
      <c r="BW120" s="59">
        <f t="shared" si="77"/>
        <v>2258.4443180744447</v>
      </c>
      <c r="BX120" s="59">
        <f t="shared" si="77"/>
        <v>2186.9928354182603</v>
      </c>
      <c r="BY120" s="59">
        <f t="shared" si="77"/>
        <v>2133.3900262092411</v>
      </c>
      <c r="BZ120" s="59">
        <f t="shared" si="77"/>
        <v>2422.0842747068286</v>
      </c>
      <c r="CA120" s="59">
        <f t="shared" si="77"/>
        <v>4481.8129108744442</v>
      </c>
      <c r="CB120" s="59">
        <f t="shared" si="77"/>
        <v>4749.3078197620553</v>
      </c>
      <c r="CC120" s="59">
        <f t="shared" si="77"/>
        <v>4366.7796007542402</v>
      </c>
      <c r="CD120" s="59">
        <f t="shared" si="77"/>
        <v>4806.1684400142385</v>
      </c>
      <c r="CE120" s="59">
        <f t="shared" si="77"/>
        <v>6867.2768090951222</v>
      </c>
      <c r="CF120" s="59">
        <f t="shared" si="77"/>
        <v>5671.7325081200006</v>
      </c>
      <c r="CG120" s="59">
        <f t="shared" si="77"/>
        <v>5205.8720688942367</v>
      </c>
      <c r="CH120" s="59">
        <f t="shared" si="77"/>
        <v>6030.6973160379457</v>
      </c>
      <c r="CI120" s="59">
        <f t="shared" si="77"/>
        <v>5837.4769321350459</v>
      </c>
      <c r="CJ120" s="59">
        <f t="shared" si="77"/>
        <v>4040.0298854488206</v>
      </c>
      <c r="CK120" s="59">
        <f t="shared" si="77"/>
        <v>3520.9849232103047</v>
      </c>
      <c r="CL120" s="59">
        <f t="shared" si="77"/>
        <v>3670.5969451967098</v>
      </c>
      <c r="CM120" s="59">
        <f t="shared" si="77"/>
        <v>4019.5569519911642</v>
      </c>
      <c r="CN120" s="59">
        <f t="shared" si="77"/>
        <v>3203.085760744138</v>
      </c>
      <c r="CO120" s="59">
        <f t="shared" si="77"/>
        <v>2703.8904890556933</v>
      </c>
      <c r="CP120" s="59">
        <f t="shared" si="77"/>
        <v>2894.1675591969665</v>
      </c>
      <c r="CQ120" s="59">
        <f>CQ117/CQ125</f>
        <v>3716.3943121672387</v>
      </c>
      <c r="CR120" s="60">
        <f>CR117/CR125</f>
        <v>3745.9141312106867</v>
      </c>
      <c r="CS120" s="60">
        <f>CS117/CS125</f>
        <v>3585.3205096777988</v>
      </c>
      <c r="CT120" s="60">
        <f>CT117/CT125</f>
        <v>4130.7106034846174</v>
      </c>
      <c r="CU120" s="345">
        <f>CU117/CU125</f>
        <v>5260.2935857320708</v>
      </c>
    </row>
    <row r="121" spans="1:99" x14ac:dyDescent="0.2">
      <c r="A121" s="23" t="s">
        <v>148</v>
      </c>
      <c r="B121" s="275"/>
      <c r="C121" s="59" t="s">
        <v>49</v>
      </c>
      <c r="D121" s="59" t="s">
        <v>49</v>
      </c>
      <c r="E121" s="59" t="s">
        <v>49</v>
      </c>
      <c r="F121" s="59" t="s">
        <v>49</v>
      </c>
      <c r="G121" s="59" t="s">
        <v>49</v>
      </c>
      <c r="H121" s="59" t="s">
        <v>49</v>
      </c>
      <c r="I121" s="59" t="s">
        <v>49</v>
      </c>
      <c r="J121" s="59" t="s">
        <v>49</v>
      </c>
      <c r="K121" s="59" t="s">
        <v>49</v>
      </c>
      <c r="L121" s="59" t="s">
        <v>49</v>
      </c>
      <c r="M121" s="59" t="s">
        <v>49</v>
      </c>
      <c r="N121" s="59" t="s">
        <v>49</v>
      </c>
      <c r="O121" s="59" t="s">
        <v>49</v>
      </c>
      <c r="P121" s="59" t="s">
        <v>49</v>
      </c>
      <c r="Q121" s="59" t="s">
        <v>49</v>
      </c>
      <c r="R121" s="59" t="s">
        <v>49</v>
      </c>
      <c r="S121" s="59" t="s">
        <v>49</v>
      </c>
      <c r="T121" s="59" t="s">
        <v>49</v>
      </c>
      <c r="U121" s="59" t="s">
        <v>49</v>
      </c>
      <c r="V121" s="59" t="s">
        <v>49</v>
      </c>
      <c r="W121" s="59" t="s">
        <v>49</v>
      </c>
      <c r="X121" s="59" t="s">
        <v>49</v>
      </c>
      <c r="Y121" s="59" t="s">
        <v>49</v>
      </c>
      <c r="Z121" s="59" t="s">
        <v>49</v>
      </c>
      <c r="AA121" s="59" t="s">
        <v>49</v>
      </c>
      <c r="AB121" s="59" t="s">
        <v>49</v>
      </c>
      <c r="AC121" s="59" t="s">
        <v>49</v>
      </c>
      <c r="AD121" s="59" t="s">
        <v>49</v>
      </c>
      <c r="AE121" s="59" t="s">
        <v>49</v>
      </c>
      <c r="AF121" s="59" t="s">
        <v>49</v>
      </c>
      <c r="AG121" s="59" t="s">
        <v>49</v>
      </c>
      <c r="AH121" s="59" t="s">
        <v>49</v>
      </c>
      <c r="AI121" s="59" t="s">
        <v>49</v>
      </c>
      <c r="AJ121" s="59" t="s">
        <v>49</v>
      </c>
      <c r="AK121" s="59" t="s">
        <v>49</v>
      </c>
      <c r="AL121" s="59" t="s">
        <v>49</v>
      </c>
      <c r="AM121" s="59" t="s">
        <v>49</v>
      </c>
      <c r="AN121" s="59" t="s">
        <v>49</v>
      </c>
      <c r="AO121" s="59" t="s">
        <v>49</v>
      </c>
      <c r="AP121" s="59" t="s">
        <v>49</v>
      </c>
      <c r="AQ121" s="59" t="s">
        <v>49</v>
      </c>
      <c r="AR121" s="59" t="s">
        <v>49</v>
      </c>
      <c r="AS121" s="59" t="s">
        <v>49</v>
      </c>
      <c r="AT121" s="59" t="s">
        <v>49</v>
      </c>
      <c r="AU121" s="59" t="s">
        <v>49</v>
      </c>
      <c r="AV121" s="59" t="s">
        <v>49</v>
      </c>
      <c r="AW121" s="59" t="s">
        <v>49</v>
      </c>
      <c r="AX121" s="59" t="s">
        <v>49</v>
      </c>
      <c r="AY121" s="59" t="s">
        <v>49</v>
      </c>
      <c r="AZ121" s="59" t="s">
        <v>49</v>
      </c>
      <c r="BA121" s="59" t="s">
        <v>49</v>
      </c>
      <c r="BB121" s="59" t="s">
        <v>49</v>
      </c>
      <c r="BC121" s="59" t="s">
        <v>49</v>
      </c>
      <c r="BD121" s="59" t="s">
        <v>49</v>
      </c>
      <c r="BE121" s="59" t="s">
        <v>49</v>
      </c>
      <c r="BF121" s="59" t="s">
        <v>49</v>
      </c>
      <c r="BG121" s="59" t="s">
        <v>49</v>
      </c>
      <c r="BH121" s="59" t="s">
        <v>49</v>
      </c>
      <c r="BI121" s="59" t="s">
        <v>49</v>
      </c>
      <c r="BJ121" s="59" t="s">
        <v>49</v>
      </c>
      <c r="BK121" s="59" t="s">
        <v>49</v>
      </c>
      <c r="BL121" s="59" t="s">
        <v>49</v>
      </c>
      <c r="BM121" s="59" t="s">
        <v>49</v>
      </c>
      <c r="BN121" s="59" t="s">
        <v>49</v>
      </c>
      <c r="BO121" s="59" t="s">
        <v>49</v>
      </c>
      <c r="BP121" s="59" t="s">
        <v>49</v>
      </c>
      <c r="BQ121" s="59" t="s">
        <v>49</v>
      </c>
      <c r="BR121" s="59" t="s">
        <v>49</v>
      </c>
      <c r="BS121" s="59" t="s">
        <v>49</v>
      </c>
      <c r="BT121" s="59" t="s">
        <v>49</v>
      </c>
      <c r="BU121" s="59" t="s">
        <v>49</v>
      </c>
      <c r="BV121" s="59" t="s">
        <v>49</v>
      </c>
      <c r="BW121" s="59" t="s">
        <v>49</v>
      </c>
      <c r="BX121" s="59" t="s">
        <v>49</v>
      </c>
      <c r="BY121" s="59" t="s">
        <v>49</v>
      </c>
      <c r="BZ121" s="59" t="s">
        <v>49</v>
      </c>
      <c r="CA121" s="59">
        <f t="shared" ref="CA121:CL121" si="78">CA118/CA125</f>
        <v>442.1119117942859</v>
      </c>
      <c r="CB121" s="59">
        <f t="shared" si="78"/>
        <v>563.97476699965807</v>
      </c>
      <c r="CC121" s="59">
        <f t="shared" si="78"/>
        <v>534.60292013636365</v>
      </c>
      <c r="CD121" s="59">
        <f t="shared" si="78"/>
        <v>761.75526515199999</v>
      </c>
      <c r="CE121" s="59">
        <f t="shared" si="78"/>
        <v>1597.1523628455284</v>
      </c>
      <c r="CF121" s="59">
        <f t="shared" si="78"/>
        <v>898.76213920033604</v>
      </c>
      <c r="CG121" s="59">
        <f t="shared" si="78"/>
        <v>767.38526200848491</v>
      </c>
      <c r="CH121" s="59">
        <f t="shared" si="78"/>
        <v>910.78881387464412</v>
      </c>
      <c r="CI121" s="59">
        <f t="shared" si="78"/>
        <v>899.55313281119845</v>
      </c>
      <c r="CJ121" s="59">
        <f t="shared" si="78"/>
        <v>639.23973946406932</v>
      </c>
      <c r="CK121" s="59">
        <f t="shared" si="78"/>
        <v>510.83646431318209</v>
      </c>
      <c r="CL121" s="59">
        <f t="shared" si="78"/>
        <v>415.30930675338442</v>
      </c>
      <c r="CM121" s="59">
        <f t="shared" ref="CM121:CR121" si="79">CM118/CM125</f>
        <v>568.2230936881889</v>
      </c>
      <c r="CN121" s="59">
        <f t="shared" si="79"/>
        <v>497.8886348824156</v>
      </c>
      <c r="CO121" s="59">
        <f t="shared" si="79"/>
        <v>485.86102847615393</v>
      </c>
      <c r="CP121" s="59">
        <f t="shared" si="79"/>
        <v>469.96366477961499</v>
      </c>
      <c r="CQ121" s="59">
        <f t="shared" si="79"/>
        <v>717.60614401626242</v>
      </c>
      <c r="CR121" s="60">
        <f t="shared" si="79"/>
        <v>775.2085926541439</v>
      </c>
      <c r="CS121" s="60">
        <f t="shared" ref="CS121:CT121" si="80">CS118/CS125</f>
        <v>759.05380766397423</v>
      </c>
      <c r="CT121" s="60">
        <f t="shared" si="80"/>
        <v>1192.9504113693217</v>
      </c>
      <c r="CU121" s="345">
        <v>1334.63870818086</v>
      </c>
    </row>
    <row r="122" spans="1:99" x14ac:dyDescent="0.2">
      <c r="A122" s="23" t="s">
        <v>178</v>
      </c>
      <c r="B122" s="231"/>
      <c r="C122" s="269" t="s">
        <v>49</v>
      </c>
      <c r="D122" s="269" t="s">
        <v>49</v>
      </c>
      <c r="E122" s="269" t="s">
        <v>49</v>
      </c>
      <c r="F122" s="269" t="s">
        <v>49</v>
      </c>
      <c r="G122" s="269" t="s">
        <v>49</v>
      </c>
      <c r="H122" s="269" t="s">
        <v>49</v>
      </c>
      <c r="I122" s="269" t="s">
        <v>49</v>
      </c>
      <c r="J122" s="269" t="s">
        <v>49</v>
      </c>
      <c r="K122" s="269" t="s">
        <v>49</v>
      </c>
      <c r="L122" s="269" t="s">
        <v>49</v>
      </c>
      <c r="M122" s="269" t="s">
        <v>49</v>
      </c>
      <c r="N122" s="269" t="s">
        <v>49</v>
      </c>
      <c r="O122" s="269" t="s">
        <v>49</v>
      </c>
      <c r="P122" s="269" t="s">
        <v>49</v>
      </c>
      <c r="Q122" s="269" t="s">
        <v>49</v>
      </c>
      <c r="R122" s="269" t="s">
        <v>49</v>
      </c>
      <c r="S122" s="269" t="s">
        <v>49</v>
      </c>
      <c r="T122" s="269" t="s">
        <v>49</v>
      </c>
      <c r="U122" s="269" t="s">
        <v>49</v>
      </c>
      <c r="V122" s="269" t="s">
        <v>49</v>
      </c>
      <c r="W122" s="269" t="s">
        <v>49</v>
      </c>
      <c r="X122" s="269" t="s">
        <v>49</v>
      </c>
      <c r="Y122" s="269" t="s">
        <v>49</v>
      </c>
      <c r="Z122" s="269" t="s">
        <v>49</v>
      </c>
      <c r="AA122" s="269" t="s">
        <v>49</v>
      </c>
      <c r="AB122" s="269" t="s">
        <v>49</v>
      </c>
      <c r="AC122" s="269" t="s">
        <v>49</v>
      </c>
      <c r="AD122" s="269" t="s">
        <v>49</v>
      </c>
      <c r="AE122" s="269" t="s">
        <v>49</v>
      </c>
      <c r="AF122" s="269" t="s">
        <v>49</v>
      </c>
      <c r="AG122" s="269" t="s">
        <v>49</v>
      </c>
      <c r="AH122" s="269" t="s">
        <v>49</v>
      </c>
      <c r="AI122" s="269" t="s">
        <v>49</v>
      </c>
      <c r="AJ122" s="269" t="s">
        <v>49</v>
      </c>
      <c r="AK122" s="269" t="s">
        <v>49</v>
      </c>
      <c r="AL122" s="269" t="s">
        <v>49</v>
      </c>
      <c r="AM122" s="269" t="s">
        <v>49</v>
      </c>
      <c r="AN122" s="269" t="s">
        <v>49</v>
      </c>
      <c r="AO122" s="269" t="s">
        <v>49</v>
      </c>
      <c r="AP122" s="269" t="s">
        <v>49</v>
      </c>
      <c r="AQ122" s="269" t="s">
        <v>49</v>
      </c>
      <c r="AR122" s="269" t="s">
        <v>49</v>
      </c>
      <c r="AS122" s="269" t="s">
        <v>49</v>
      </c>
      <c r="AT122" s="269" t="s">
        <v>49</v>
      </c>
      <c r="AU122" s="269" t="s">
        <v>49</v>
      </c>
      <c r="AV122" s="269" t="s">
        <v>49</v>
      </c>
      <c r="AW122" s="269" t="s">
        <v>49</v>
      </c>
      <c r="AX122" s="269" t="s">
        <v>49</v>
      </c>
      <c r="AY122" s="269" t="s">
        <v>49</v>
      </c>
      <c r="AZ122" s="269" t="s">
        <v>49</v>
      </c>
      <c r="BA122" s="269" t="s">
        <v>49</v>
      </c>
      <c r="BB122" s="269" t="s">
        <v>49</v>
      </c>
      <c r="BC122" s="269" t="s">
        <v>49</v>
      </c>
      <c r="BD122" s="269" t="s">
        <v>49</v>
      </c>
      <c r="BE122" s="269" t="s">
        <v>49</v>
      </c>
      <c r="BF122" s="269" t="s">
        <v>49</v>
      </c>
      <c r="BG122" s="269" t="s">
        <v>49</v>
      </c>
      <c r="BH122" s="269" t="s">
        <v>49</v>
      </c>
      <c r="BI122" s="269" t="s">
        <v>49</v>
      </c>
      <c r="BJ122" s="269" t="s">
        <v>49</v>
      </c>
      <c r="BK122" s="51">
        <f t="shared" ref="BK122:CU122" si="81">+BK115/((BK68+BJ68)/2*1000)</f>
        <v>6.4598190139380067</v>
      </c>
      <c r="BL122" s="51">
        <f t="shared" si="81"/>
        <v>5.7517522509152075</v>
      </c>
      <c r="BM122" s="51">
        <f t="shared" si="81"/>
        <v>5.8595199395199407</v>
      </c>
      <c r="BN122" s="51">
        <f t="shared" si="81"/>
        <v>6.3080600773450852</v>
      </c>
      <c r="BO122" s="51">
        <f t="shared" si="81"/>
        <v>6.0793997965412006</v>
      </c>
      <c r="BP122" s="51">
        <f t="shared" si="81"/>
        <v>5.0499301709607511</v>
      </c>
      <c r="BQ122" s="51">
        <f t="shared" si="81"/>
        <v>5.0528704980842916</v>
      </c>
      <c r="BR122" s="51">
        <f t="shared" si="81"/>
        <v>5.6433531436628455</v>
      </c>
      <c r="BS122" s="51">
        <f t="shared" si="81"/>
        <v>5.4294962888468641</v>
      </c>
      <c r="BT122" s="51">
        <f t="shared" si="81"/>
        <v>4.3241864509843673</v>
      </c>
      <c r="BU122" s="51">
        <f t="shared" si="81"/>
        <v>4.9929653225546948</v>
      </c>
      <c r="BV122" s="51">
        <f t="shared" si="81"/>
        <v>4.6241127339128427</v>
      </c>
      <c r="BW122" s="51">
        <f t="shared" si="81"/>
        <v>4.6749949499828736</v>
      </c>
      <c r="BX122" s="51">
        <f t="shared" si="81"/>
        <v>4.591810952568947</v>
      </c>
      <c r="BY122" s="51">
        <f t="shared" si="81"/>
        <v>5.1744677708229476</v>
      </c>
      <c r="BZ122" s="51">
        <f t="shared" si="81"/>
        <v>4.8835372395269134</v>
      </c>
      <c r="CA122" s="51">
        <f t="shared" si="81"/>
        <v>8.9946854686116016</v>
      </c>
      <c r="CB122" s="51">
        <f t="shared" si="81"/>
        <v>8.4513619248715717</v>
      </c>
      <c r="CC122" s="51">
        <f t="shared" si="81"/>
        <v>9.3702373408407009</v>
      </c>
      <c r="CD122" s="51">
        <f t="shared" si="81"/>
        <v>9.3508914758593047</v>
      </c>
      <c r="CE122" s="51">
        <f t="shared" si="81"/>
        <v>13.055894807056594</v>
      </c>
      <c r="CF122" s="51">
        <f t="shared" si="81"/>
        <v>9.2612301446529433</v>
      </c>
      <c r="CG122" s="51">
        <f t="shared" si="81"/>
        <v>8.5919604146393986</v>
      </c>
      <c r="CH122" s="51">
        <f t="shared" si="81"/>
        <v>8.5944864861869714</v>
      </c>
      <c r="CI122" s="51">
        <f t="shared" si="81"/>
        <v>7.7123143283724254</v>
      </c>
      <c r="CJ122" s="51">
        <f t="shared" si="81"/>
        <v>5.4861028423193101</v>
      </c>
      <c r="CK122" s="51">
        <f t="shared" si="81"/>
        <v>5.3138945444561836</v>
      </c>
      <c r="CL122" s="51">
        <f t="shared" si="81"/>
        <v>4.8598774199616059</v>
      </c>
      <c r="CM122" s="51">
        <f t="shared" si="81"/>
        <v>5.5884643354526693</v>
      </c>
      <c r="CN122" s="51">
        <f t="shared" si="81"/>
        <v>4.6053630152239471</v>
      </c>
      <c r="CO122" s="51">
        <f t="shared" si="81"/>
        <v>4.1428390310579672</v>
      </c>
      <c r="CP122" s="51">
        <f t="shared" si="81"/>
        <v>3.9376706483398243</v>
      </c>
      <c r="CQ122" s="51">
        <f t="shared" si="81"/>
        <v>4.8120174459357727</v>
      </c>
      <c r="CR122" s="52">
        <f t="shared" si="81"/>
        <v>4.5750702096582874</v>
      </c>
      <c r="CS122" s="52">
        <f t="shared" si="81"/>
        <v>4.7644126221570877</v>
      </c>
      <c r="CT122" s="52">
        <f t="shared" si="81"/>
        <v>4.8776041145412519</v>
      </c>
      <c r="CU122" s="343">
        <f t="shared" si="81"/>
        <v>5.5705630320034247</v>
      </c>
    </row>
    <row r="123" spans="1:99" x14ac:dyDescent="0.2">
      <c r="A123" s="18" t="s">
        <v>179</v>
      </c>
      <c r="B123" s="229"/>
      <c r="C123" s="49" t="s">
        <v>49</v>
      </c>
      <c r="D123" s="49" t="s">
        <v>49</v>
      </c>
      <c r="E123" s="49" t="s">
        <v>49</v>
      </c>
      <c r="F123" s="49" t="s">
        <v>49</v>
      </c>
      <c r="G123" s="49" t="s">
        <v>49</v>
      </c>
      <c r="H123" s="49" t="s">
        <v>49</v>
      </c>
      <c r="I123" s="49" t="s">
        <v>49</v>
      </c>
      <c r="J123" s="49" t="s">
        <v>49</v>
      </c>
      <c r="K123" s="49" t="s">
        <v>49</v>
      </c>
      <c r="L123" s="49" t="s">
        <v>49</v>
      </c>
      <c r="M123" s="49" t="s">
        <v>49</v>
      </c>
      <c r="N123" s="49" t="s">
        <v>49</v>
      </c>
      <c r="O123" s="49" t="s">
        <v>49</v>
      </c>
      <c r="P123" s="49" t="s">
        <v>49</v>
      </c>
      <c r="Q123" s="49" t="s">
        <v>49</v>
      </c>
      <c r="R123" s="49" t="s">
        <v>49</v>
      </c>
      <c r="S123" s="49" t="s">
        <v>49</v>
      </c>
      <c r="T123" s="49" t="s">
        <v>49</v>
      </c>
      <c r="U123" s="49" t="s">
        <v>49</v>
      </c>
      <c r="V123" s="49" t="s">
        <v>49</v>
      </c>
      <c r="W123" s="49" t="s">
        <v>49</v>
      </c>
      <c r="X123" s="49" t="s">
        <v>49</v>
      </c>
      <c r="Y123" s="49" t="s">
        <v>49</v>
      </c>
      <c r="Z123" s="49" t="s">
        <v>49</v>
      </c>
      <c r="AA123" s="49" t="s">
        <v>49</v>
      </c>
      <c r="AB123" s="49" t="s">
        <v>49</v>
      </c>
      <c r="AC123" s="49" t="s">
        <v>49</v>
      </c>
      <c r="AD123" s="49" t="s">
        <v>49</v>
      </c>
      <c r="AE123" s="49" t="s">
        <v>49</v>
      </c>
      <c r="AF123" s="49" t="s">
        <v>49</v>
      </c>
      <c r="AG123" s="49" t="s">
        <v>49</v>
      </c>
      <c r="AH123" s="49" t="s">
        <v>49</v>
      </c>
      <c r="AI123" s="49" t="s">
        <v>49</v>
      </c>
      <c r="AJ123" s="49" t="s">
        <v>49</v>
      </c>
      <c r="AK123" s="49" t="s">
        <v>49</v>
      </c>
      <c r="AL123" s="49" t="s">
        <v>49</v>
      </c>
      <c r="AM123" s="49" t="s">
        <v>49</v>
      </c>
      <c r="AN123" s="49" t="s">
        <v>49</v>
      </c>
      <c r="AO123" s="49" t="s">
        <v>49</v>
      </c>
      <c r="AP123" s="49" t="s">
        <v>49</v>
      </c>
      <c r="AQ123" s="49" t="s">
        <v>49</v>
      </c>
      <c r="AR123" s="49" t="s">
        <v>49</v>
      </c>
      <c r="AS123" s="49" t="s">
        <v>49</v>
      </c>
      <c r="AT123" s="49" t="s">
        <v>49</v>
      </c>
      <c r="AU123" s="49" t="s">
        <v>49</v>
      </c>
      <c r="AV123" s="49" t="s">
        <v>49</v>
      </c>
      <c r="AW123" s="49" t="s">
        <v>49</v>
      </c>
      <c r="AX123" s="49" t="s">
        <v>49</v>
      </c>
      <c r="AY123" s="168">
        <f t="shared" ref="AY123:CP123" si="82">+AY10/AY117</f>
        <v>9.4374954076882405E-4</v>
      </c>
      <c r="AZ123" s="168">
        <f t="shared" si="82"/>
        <v>9.2343049586845398E-4</v>
      </c>
      <c r="BA123" s="168">
        <f t="shared" si="82"/>
        <v>9.2611600136730974E-4</v>
      </c>
      <c r="BB123" s="168">
        <f t="shared" si="82"/>
        <v>9.3128547152059038E-4</v>
      </c>
      <c r="BC123" s="168">
        <f t="shared" si="82"/>
        <v>9.0902503958867375E-4</v>
      </c>
      <c r="BD123" s="168">
        <f t="shared" si="82"/>
        <v>8.4769815403581918E-4</v>
      </c>
      <c r="BE123" s="168">
        <f t="shared" si="82"/>
        <v>9.4390821047663929E-4</v>
      </c>
      <c r="BF123" s="168">
        <f t="shared" si="82"/>
        <v>9.360922783208525E-4</v>
      </c>
      <c r="BG123" s="168">
        <f t="shared" si="82"/>
        <v>8.8172943449837536E-4</v>
      </c>
      <c r="BH123" s="168">
        <f t="shared" si="82"/>
        <v>8.5990467566831111E-4</v>
      </c>
      <c r="BI123" s="168">
        <f t="shared" si="82"/>
        <v>7.8038794218318857E-4</v>
      </c>
      <c r="BJ123" s="168">
        <f t="shared" si="82"/>
        <v>7.5439983288927523E-4</v>
      </c>
      <c r="BK123" s="168">
        <f t="shared" si="82"/>
        <v>8.6824200882149223E-4</v>
      </c>
      <c r="BL123" s="168">
        <f t="shared" si="82"/>
        <v>8.4451502483952855E-4</v>
      </c>
      <c r="BM123" s="168">
        <f t="shared" si="82"/>
        <v>9.0875548663505086E-4</v>
      </c>
      <c r="BN123" s="168">
        <f t="shared" si="82"/>
        <v>9.1117017644829455E-4</v>
      </c>
      <c r="BO123" s="168">
        <f t="shared" si="82"/>
        <v>9.4995016674283522E-4</v>
      </c>
      <c r="BP123" s="169">
        <f t="shared" si="82"/>
        <v>9.2348155959480233E-4</v>
      </c>
      <c r="BQ123" s="168">
        <f t="shared" si="82"/>
        <v>9.4007476318015021E-4</v>
      </c>
      <c r="BR123" s="168">
        <f t="shared" si="82"/>
        <v>1.0307662651937992E-3</v>
      </c>
      <c r="BS123" s="168">
        <f t="shared" si="82"/>
        <v>1.0004406921875039E-3</v>
      </c>
      <c r="BT123" s="168">
        <f t="shared" si="82"/>
        <v>9.3409796570331706E-4</v>
      </c>
      <c r="BU123" s="168">
        <f t="shared" si="82"/>
        <v>9.8595402704842149E-4</v>
      </c>
      <c r="BV123" s="172">
        <f t="shared" si="82"/>
        <v>9.8292794507882637E-4</v>
      </c>
      <c r="BW123" s="169">
        <f t="shared" si="82"/>
        <v>9.4062409432394756E-4</v>
      </c>
      <c r="BX123" s="169">
        <f t="shared" si="82"/>
        <v>1.0037031110236092E-3</v>
      </c>
      <c r="BY123" s="169">
        <f t="shared" si="82"/>
        <v>1.0659421406428746E-3</v>
      </c>
      <c r="BZ123" s="168">
        <f t="shared" si="82"/>
        <v>9.8056357248583591E-4</v>
      </c>
      <c r="CA123" s="168">
        <f t="shared" si="82"/>
        <v>1.0831242380396149E-3</v>
      </c>
      <c r="CB123" s="168">
        <f t="shared" si="82"/>
        <v>1.0771569068946814E-3</v>
      </c>
      <c r="CC123" s="168">
        <f t="shared" si="82"/>
        <v>1.1358265990156846E-3</v>
      </c>
      <c r="CD123" s="168">
        <f t="shared" si="82"/>
        <v>1.1291471091895236E-3</v>
      </c>
      <c r="CE123" s="168">
        <f t="shared" si="82"/>
        <v>1.2201044730129594E-3</v>
      </c>
      <c r="CF123" s="168">
        <f t="shared" si="82"/>
        <v>1.145438351121087E-3</v>
      </c>
      <c r="CG123" s="168">
        <f t="shared" si="82"/>
        <v>1.1114091497016801E-3</v>
      </c>
      <c r="CH123" s="168">
        <f t="shared" si="82"/>
        <v>1.0607731935096459E-3</v>
      </c>
      <c r="CI123" s="168">
        <f t="shared" si="82"/>
        <v>1.0430703715163133E-3</v>
      </c>
      <c r="CJ123" s="168">
        <f t="shared" si="82"/>
        <v>1.048563665460021E-3</v>
      </c>
      <c r="CK123" s="168">
        <f t="shared" si="82"/>
        <v>1.0808234778041121E-3</v>
      </c>
      <c r="CL123" s="168">
        <f t="shared" si="82"/>
        <v>9.8573556805703279E-4</v>
      </c>
      <c r="CM123" s="168">
        <f t="shared" si="82"/>
        <v>1.0452039703320241E-3</v>
      </c>
      <c r="CN123" s="168">
        <f t="shared" si="82"/>
        <v>1.1117639254110379E-3</v>
      </c>
      <c r="CO123" s="168">
        <f t="shared" si="82"/>
        <v>1.1170866453622638E-3</v>
      </c>
      <c r="CP123" s="168">
        <f t="shared" si="82"/>
        <v>1.0616390078715869E-3</v>
      </c>
      <c r="CQ123" s="168">
        <f>+CQ10/CQ117</f>
        <v>1.1001519323841525E-3</v>
      </c>
      <c r="CR123" s="169">
        <f>+CR10/CR117</f>
        <v>1.1199479478942221E-3</v>
      </c>
      <c r="CS123" s="169">
        <f>+CS10/CS117</f>
        <v>1.1209306440898871E-3</v>
      </c>
      <c r="CT123" s="169">
        <f>+CT10/CT117</f>
        <v>1.1808235875218223E-3</v>
      </c>
      <c r="CU123" s="347">
        <f>+CU10/CU117</f>
        <v>1.1505268096349446E-3</v>
      </c>
    </row>
    <row r="124" spans="1:99" x14ac:dyDescent="0.2">
      <c r="A124" s="23" t="s">
        <v>110</v>
      </c>
      <c r="B124" s="231"/>
      <c r="C124" s="52">
        <f t="shared" ref="C124:BN124" si="83">+C12/(C125)</f>
        <v>0.20468750000000002</v>
      </c>
      <c r="D124" s="52">
        <f t="shared" si="83"/>
        <v>0.14237288135593218</v>
      </c>
      <c r="E124" s="52">
        <f t="shared" si="83"/>
        <v>0.11692307692307694</v>
      </c>
      <c r="F124" s="52">
        <f t="shared" si="83"/>
        <v>0.36612903225806448</v>
      </c>
      <c r="G124" s="52">
        <f t="shared" si="83"/>
        <v>0.28225806451612906</v>
      </c>
      <c r="H124" s="52">
        <f t="shared" si="83"/>
        <v>0.20333333333333331</v>
      </c>
      <c r="I124" s="52">
        <f t="shared" si="83"/>
        <v>0.22878787878787882</v>
      </c>
      <c r="J124" s="52">
        <f t="shared" si="83"/>
        <v>0.40322580645161288</v>
      </c>
      <c r="K124" s="52">
        <f t="shared" si="83"/>
        <v>0.2661290322580645</v>
      </c>
      <c r="L124" s="52">
        <f t="shared" si="83"/>
        <v>0.29661016949152541</v>
      </c>
      <c r="M124" s="52">
        <f t="shared" si="83"/>
        <v>0.40151515151515149</v>
      </c>
      <c r="N124" s="52">
        <f t="shared" si="83"/>
        <v>0.45967741935483869</v>
      </c>
      <c r="O124" s="52">
        <f t="shared" si="83"/>
        <v>0.73809523809523814</v>
      </c>
      <c r="P124" s="52">
        <f t="shared" si="83"/>
        <v>0.44666666666666666</v>
      </c>
      <c r="Q124" s="52">
        <f t="shared" si="83"/>
        <v>0.31363636363636366</v>
      </c>
      <c r="R124" s="52">
        <f t="shared" si="83"/>
        <v>0.45468750000000002</v>
      </c>
      <c r="S124" s="52">
        <f t="shared" si="83"/>
        <v>0.52950819672131144</v>
      </c>
      <c r="T124" s="52">
        <f t="shared" si="83"/>
        <v>0.55806451612903218</v>
      </c>
      <c r="U124" s="52">
        <f t="shared" si="83"/>
        <v>0.62878787878787878</v>
      </c>
      <c r="V124" s="52">
        <f t="shared" si="83"/>
        <v>0.71562500000000007</v>
      </c>
      <c r="W124" s="52">
        <f t="shared" si="83"/>
        <v>1.096875</v>
      </c>
      <c r="X124" s="52">
        <f t="shared" si="83"/>
        <v>1.1355932203389831</v>
      </c>
      <c r="Y124" s="52">
        <f t="shared" si="83"/>
        <v>0.66923076923076918</v>
      </c>
      <c r="Z124" s="52">
        <f t="shared" si="83"/>
        <v>0.95161290322580661</v>
      </c>
      <c r="AA124" s="52">
        <f t="shared" si="83"/>
        <v>1.1140625</v>
      </c>
      <c r="AB124" s="52">
        <f t="shared" si="83"/>
        <v>0.94666666666666666</v>
      </c>
      <c r="AC124" s="52">
        <f t="shared" si="83"/>
        <v>0.93100000000000016</v>
      </c>
      <c r="AD124" s="52">
        <f t="shared" si="83"/>
        <v>1.0806451612903225</v>
      </c>
      <c r="AE124" s="52">
        <f t="shared" si="83"/>
        <v>1.0408130081300815</v>
      </c>
      <c r="AF124" s="52">
        <f t="shared" si="83"/>
        <v>0.81170731707317079</v>
      </c>
      <c r="AG124" s="52">
        <f t="shared" si="83"/>
        <v>0.80909090909090919</v>
      </c>
      <c r="AH124" s="52">
        <f t="shared" si="83"/>
        <v>1.0081300813008129</v>
      </c>
      <c r="AI124" s="52">
        <f t="shared" si="83"/>
        <v>0.94908943089430908</v>
      </c>
      <c r="AJ124" s="52">
        <f t="shared" si="83"/>
        <v>1.4017094017094016</v>
      </c>
      <c r="AK124" s="52">
        <f t="shared" si="83"/>
        <v>1.1666666666666667</v>
      </c>
      <c r="AL124" s="52">
        <f t="shared" si="83"/>
        <v>1.32</v>
      </c>
      <c r="AM124" s="52">
        <f t="shared" si="83"/>
        <v>1.4146341463414633</v>
      </c>
      <c r="AN124" s="52">
        <f t="shared" si="83"/>
        <v>1.4621848739495797</v>
      </c>
      <c r="AO124" s="52">
        <f t="shared" si="83"/>
        <v>1.0606060606060606</v>
      </c>
      <c r="AP124" s="52">
        <f t="shared" si="83"/>
        <v>1.3370078740157478</v>
      </c>
      <c r="AQ124" s="52">
        <f t="shared" si="83"/>
        <v>1.4</v>
      </c>
      <c r="AR124" s="52">
        <f t="shared" si="83"/>
        <v>1.0847457627118644</v>
      </c>
      <c r="AS124" s="52">
        <f t="shared" si="83"/>
        <v>1.3181818181818181</v>
      </c>
      <c r="AT124" s="52">
        <f t="shared" si="83"/>
        <v>1.0551181102362204</v>
      </c>
      <c r="AU124" s="52">
        <f t="shared" si="83"/>
        <v>1.1023622047244095</v>
      </c>
      <c r="AV124" s="52">
        <f t="shared" si="83"/>
        <v>0.92173913043478262</v>
      </c>
      <c r="AW124" s="52">
        <f t="shared" si="83"/>
        <v>0.72307692307692306</v>
      </c>
      <c r="AX124" s="52">
        <f t="shared" si="83"/>
        <v>0.74796747967479671</v>
      </c>
      <c r="AY124" s="52">
        <f t="shared" si="83"/>
        <v>1.0406504065040652</v>
      </c>
      <c r="AZ124" s="52">
        <f t="shared" si="83"/>
        <v>0.86440677966101698</v>
      </c>
      <c r="BA124" s="52">
        <f t="shared" si="83"/>
        <v>0.95454545454545459</v>
      </c>
      <c r="BB124" s="52">
        <f t="shared" si="83"/>
        <v>1.089430894308943</v>
      </c>
      <c r="BC124" s="52">
        <f t="shared" si="83"/>
        <v>1.2483870967741937</v>
      </c>
      <c r="BD124" s="52">
        <f t="shared" si="83"/>
        <v>1.0573913043478262</v>
      </c>
      <c r="BE124" s="52">
        <f t="shared" si="83"/>
        <v>1.009090909090909</v>
      </c>
      <c r="BF124" s="52">
        <f t="shared" si="83"/>
        <v>1.3154471544715445</v>
      </c>
      <c r="BG124" s="52">
        <f t="shared" si="83"/>
        <v>1.8373983739837398</v>
      </c>
      <c r="BH124" s="52">
        <f t="shared" si="83"/>
        <v>1.8461538461538463</v>
      </c>
      <c r="BI124" s="52">
        <f t="shared" si="83"/>
        <v>1.7045454545454546</v>
      </c>
      <c r="BJ124" s="52">
        <f t="shared" si="83"/>
        <v>2.3318240000000001</v>
      </c>
      <c r="BK124" s="51">
        <f t="shared" si="83"/>
        <v>2.0866666666666664</v>
      </c>
      <c r="BL124" s="51">
        <f t="shared" si="83"/>
        <v>1.7821138211382113</v>
      </c>
      <c r="BM124" s="51">
        <f t="shared" si="83"/>
        <v>1.7121212121212124</v>
      </c>
      <c r="BN124" s="51">
        <f t="shared" si="83"/>
        <v>1.91496062992126</v>
      </c>
      <c r="BO124" s="51">
        <f t="shared" ref="BO124:CP124" si="84">+BO12/(BO125)</f>
        <v>1.9165354330708664</v>
      </c>
      <c r="BP124" s="51">
        <f t="shared" si="84"/>
        <v>1.7286206896551723</v>
      </c>
      <c r="BQ124" s="51">
        <f t="shared" si="84"/>
        <v>1.6256923076923078</v>
      </c>
      <c r="BR124" s="51">
        <f t="shared" si="84"/>
        <v>1.9494079999999998</v>
      </c>
      <c r="BS124" s="51">
        <f t="shared" si="84"/>
        <v>1.9618064516129032</v>
      </c>
      <c r="BT124" s="51">
        <f t="shared" si="84"/>
        <v>1.5523898305084747</v>
      </c>
      <c r="BU124" s="51">
        <f t="shared" si="84"/>
        <v>1.7074615384615381</v>
      </c>
      <c r="BV124" s="173">
        <f t="shared" si="84"/>
        <v>1.8056047482926827</v>
      </c>
      <c r="BW124" s="51">
        <f t="shared" si="84"/>
        <v>1.7826565031746018</v>
      </c>
      <c r="BX124" s="51">
        <f t="shared" si="84"/>
        <v>1.8232440453913044</v>
      </c>
      <c r="BY124" s="51">
        <f t="shared" si="84"/>
        <v>1.904355996969697</v>
      </c>
      <c r="BZ124" s="51">
        <f t="shared" si="84"/>
        <v>2.0007596479674796</v>
      </c>
      <c r="CA124" s="51">
        <f t="shared" si="84"/>
        <v>4.2516224653798158</v>
      </c>
      <c r="CB124" s="51">
        <f t="shared" si="84"/>
        <v>4.4455544000579605</v>
      </c>
      <c r="CC124" s="51">
        <f t="shared" si="84"/>
        <v>4.2833407212635146</v>
      </c>
      <c r="CD124" s="51">
        <f t="shared" si="84"/>
        <v>4.662815231108608</v>
      </c>
      <c r="CE124" s="51">
        <f t="shared" si="84"/>
        <v>7.1325743651311218</v>
      </c>
      <c r="CF124" s="51">
        <f t="shared" si="84"/>
        <v>5.608553293221715</v>
      </c>
      <c r="CG124" s="51">
        <f t="shared" si="84"/>
        <v>4.9959567684347421</v>
      </c>
      <c r="CH124" s="51">
        <f t="shared" si="84"/>
        <v>5.5729657393866461</v>
      </c>
      <c r="CI124" s="51">
        <f t="shared" si="84"/>
        <v>5.2543260156800109</v>
      </c>
      <c r="CJ124" s="51">
        <f t="shared" si="84"/>
        <v>3.6497190361017013</v>
      </c>
      <c r="CK124" s="51">
        <f t="shared" si="84"/>
        <v>3.2776951653030366</v>
      </c>
      <c r="CL124" s="51">
        <f t="shared" si="84"/>
        <v>3.0839910803149588</v>
      </c>
      <c r="CM124" s="51">
        <f t="shared" si="84"/>
        <v>3.6021807237795311</v>
      </c>
      <c r="CN124" s="51">
        <f t="shared" si="84"/>
        <v>2.9689238636206898</v>
      </c>
      <c r="CO124" s="51">
        <f t="shared" si="84"/>
        <v>2.4854920275384629</v>
      </c>
      <c r="CP124" s="51">
        <f t="shared" si="84"/>
        <v>2.5839068646399999</v>
      </c>
      <c r="CQ124" s="51">
        <f>+CQ12/(CQ125)</f>
        <v>3.4946427570967775</v>
      </c>
      <c r="CR124" s="52">
        <f>+CR12/(CR125)</f>
        <v>3.5868909659322914</v>
      </c>
      <c r="CS124" s="52">
        <f>+CS12/(CS125)</f>
        <v>3.4358208709090898</v>
      </c>
      <c r="CT124" s="52">
        <f>+CT12/(CT125)</f>
        <v>4.1692080017886175</v>
      </c>
      <c r="CU124" s="343">
        <f>+CU12/(CU125)</f>
        <v>5.2021030812903204</v>
      </c>
    </row>
    <row r="125" spans="1:99" x14ac:dyDescent="0.2">
      <c r="A125" s="23" t="s">
        <v>31</v>
      </c>
      <c r="B125" s="231"/>
      <c r="C125" s="52">
        <v>64</v>
      </c>
      <c r="D125" s="52">
        <v>59</v>
      </c>
      <c r="E125" s="52">
        <v>65</v>
      </c>
      <c r="F125" s="52">
        <v>62</v>
      </c>
      <c r="G125" s="52">
        <v>62</v>
      </c>
      <c r="H125" s="52">
        <v>60</v>
      </c>
      <c r="I125" s="52">
        <v>66</v>
      </c>
      <c r="J125" s="52">
        <v>62</v>
      </c>
      <c r="K125" s="52">
        <v>62</v>
      </c>
      <c r="L125" s="52">
        <v>59</v>
      </c>
      <c r="M125" s="52">
        <v>66</v>
      </c>
      <c r="N125" s="52">
        <v>62</v>
      </c>
      <c r="O125" s="52">
        <v>63</v>
      </c>
      <c r="P125" s="52">
        <v>60</v>
      </c>
      <c r="Q125" s="52">
        <v>66</v>
      </c>
      <c r="R125" s="52">
        <v>64</v>
      </c>
      <c r="S125" s="52">
        <v>61</v>
      </c>
      <c r="T125" s="52">
        <v>62</v>
      </c>
      <c r="U125" s="52">
        <v>66</v>
      </c>
      <c r="V125" s="52">
        <v>64</v>
      </c>
      <c r="W125" s="52">
        <v>64</v>
      </c>
      <c r="X125" s="52">
        <v>59</v>
      </c>
      <c r="Y125" s="52">
        <v>65</v>
      </c>
      <c r="Z125" s="52">
        <v>62</v>
      </c>
      <c r="AA125" s="52">
        <v>64</v>
      </c>
      <c r="AB125" s="52">
        <v>60</v>
      </c>
      <c r="AC125" s="52">
        <v>65</v>
      </c>
      <c r="AD125" s="52">
        <v>62</v>
      </c>
      <c r="AE125" s="52">
        <v>61.5</v>
      </c>
      <c r="AF125" s="52">
        <v>61.5</v>
      </c>
      <c r="AG125" s="52">
        <v>66</v>
      </c>
      <c r="AH125" s="52">
        <v>61.5</v>
      </c>
      <c r="AI125" s="52">
        <v>61.5</v>
      </c>
      <c r="AJ125" s="52">
        <v>58.5</v>
      </c>
      <c r="AK125" s="52">
        <v>66</v>
      </c>
      <c r="AL125" s="52">
        <v>62.5</v>
      </c>
      <c r="AM125" s="52">
        <v>61.5</v>
      </c>
      <c r="AN125" s="52">
        <v>59.5</v>
      </c>
      <c r="AO125" s="52">
        <v>66</v>
      </c>
      <c r="AP125" s="52">
        <v>63.5</v>
      </c>
      <c r="AQ125" s="52">
        <v>62.5</v>
      </c>
      <c r="AR125" s="52">
        <v>59</v>
      </c>
      <c r="AS125" s="52">
        <v>66</v>
      </c>
      <c r="AT125" s="52">
        <v>63.5</v>
      </c>
      <c r="AU125" s="52">
        <v>63.5</v>
      </c>
      <c r="AV125" s="52">
        <v>57.5</v>
      </c>
      <c r="AW125" s="52">
        <v>65</v>
      </c>
      <c r="AX125" s="52">
        <v>61.5</v>
      </c>
      <c r="AY125" s="52">
        <v>61.5</v>
      </c>
      <c r="AZ125" s="52">
        <v>59</v>
      </c>
      <c r="BA125" s="52">
        <v>66</v>
      </c>
      <c r="BB125" s="52">
        <v>61.5</v>
      </c>
      <c r="BC125" s="52">
        <v>62</v>
      </c>
      <c r="BD125" s="52">
        <v>57.5</v>
      </c>
      <c r="BE125" s="52">
        <v>66</v>
      </c>
      <c r="BF125" s="52">
        <v>61.5</v>
      </c>
      <c r="BG125" s="52">
        <v>61.5</v>
      </c>
      <c r="BH125" s="52">
        <v>58.5</v>
      </c>
      <c r="BI125" s="52">
        <v>66</v>
      </c>
      <c r="BJ125" s="52">
        <v>62.5</v>
      </c>
      <c r="BK125" s="51">
        <v>60</v>
      </c>
      <c r="BL125" s="51">
        <v>61.5</v>
      </c>
      <c r="BM125" s="51">
        <v>66</v>
      </c>
      <c r="BN125" s="51">
        <v>63.5</v>
      </c>
      <c r="BO125" s="51">
        <v>63.5</v>
      </c>
      <c r="BP125" s="51">
        <v>58</v>
      </c>
      <c r="BQ125" s="51">
        <v>65</v>
      </c>
      <c r="BR125" s="51">
        <v>62.5</v>
      </c>
      <c r="BS125" s="51">
        <v>62</v>
      </c>
      <c r="BT125" s="51">
        <v>59</v>
      </c>
      <c r="BU125" s="51">
        <v>65</v>
      </c>
      <c r="BV125" s="173">
        <v>61.5</v>
      </c>
      <c r="BW125" s="51">
        <v>63</v>
      </c>
      <c r="BX125" s="51">
        <v>57.5</v>
      </c>
      <c r="BY125" s="51">
        <v>66</v>
      </c>
      <c r="BZ125" s="51">
        <v>61.5</v>
      </c>
      <c r="CA125" s="51">
        <v>63</v>
      </c>
      <c r="CB125" s="51">
        <v>58.5</v>
      </c>
      <c r="CC125" s="51">
        <v>66</v>
      </c>
      <c r="CD125" s="51">
        <v>62.5</v>
      </c>
      <c r="CE125" s="51">
        <v>61.5</v>
      </c>
      <c r="CF125" s="51">
        <v>59.5</v>
      </c>
      <c r="CG125" s="51">
        <v>66</v>
      </c>
      <c r="CH125" s="51">
        <v>63.5</v>
      </c>
      <c r="CI125" s="51">
        <v>62.5</v>
      </c>
      <c r="CJ125" s="51">
        <v>59</v>
      </c>
      <c r="CK125" s="51">
        <v>66</v>
      </c>
      <c r="CL125" s="51">
        <v>63.5</v>
      </c>
      <c r="CM125" s="51">
        <v>63.5</v>
      </c>
      <c r="CN125" s="51">
        <v>58</v>
      </c>
      <c r="CO125" s="51">
        <v>65</v>
      </c>
      <c r="CP125" s="51">
        <v>62.5</v>
      </c>
      <c r="CQ125" s="51">
        <v>62</v>
      </c>
      <c r="CR125" s="52">
        <v>59</v>
      </c>
      <c r="CS125" s="52">
        <v>66</v>
      </c>
      <c r="CT125" s="52">
        <v>61.5</v>
      </c>
      <c r="CU125" s="343">
        <v>62</v>
      </c>
    </row>
    <row r="126" spans="1:99" x14ac:dyDescent="0.2">
      <c r="A126" s="6"/>
      <c r="C126" s="150"/>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0"/>
      <c r="Z126" s="150"/>
      <c r="AA126" s="150"/>
      <c r="AB126" s="150"/>
      <c r="AC126" s="272"/>
      <c r="AD126" s="272"/>
      <c r="AE126" s="272"/>
      <c r="AF126" s="272"/>
      <c r="AG126" s="272"/>
      <c r="AH126" s="272"/>
      <c r="AI126" s="272"/>
      <c r="AJ126" s="150"/>
      <c r="AK126" s="274"/>
      <c r="AL126" s="150"/>
      <c r="AM126" s="272"/>
      <c r="AN126" s="150"/>
      <c r="AO126" s="150"/>
      <c r="AP126" s="150"/>
      <c r="AQ126" s="150"/>
      <c r="AR126" s="150"/>
      <c r="AS126" s="274"/>
      <c r="AT126" s="272"/>
      <c r="AU126" s="272"/>
      <c r="AV126" s="150"/>
      <c r="AW126" s="150"/>
      <c r="AX126" s="150"/>
      <c r="AY126" s="150"/>
      <c r="AZ126" s="150"/>
      <c r="BA126" s="150"/>
      <c r="BB126" s="150"/>
      <c r="BC126" s="150"/>
      <c r="BD126" s="150"/>
      <c r="BE126" s="150"/>
      <c r="BF126" s="150"/>
      <c r="BG126" s="150"/>
      <c r="BH126" s="150"/>
      <c r="BI126" s="15"/>
      <c r="BJ126" s="150"/>
      <c r="BK126" s="150"/>
      <c r="BL126" s="150"/>
      <c r="BM126" s="150"/>
      <c r="BN126" s="150"/>
      <c r="BO126" s="150"/>
      <c r="BP126" s="274"/>
      <c r="BQ126" s="150"/>
      <c r="BR126" s="274"/>
      <c r="BS126" s="150"/>
      <c r="BT126" s="150"/>
      <c r="BU126" s="150"/>
      <c r="BV126" s="150"/>
      <c r="BW126" s="272"/>
      <c r="BX126" s="272"/>
      <c r="BY126" s="272"/>
      <c r="BZ126" s="150"/>
      <c r="CA126" s="150"/>
      <c r="CB126" s="150"/>
      <c r="CC126" s="150"/>
      <c r="CD126" s="150"/>
      <c r="CE126" s="150"/>
      <c r="CF126" s="150"/>
      <c r="CG126" s="150"/>
      <c r="CH126" s="150"/>
      <c r="CI126" s="150"/>
      <c r="CJ126" s="150"/>
      <c r="CK126" s="150"/>
      <c r="CL126" s="150"/>
      <c r="CM126" s="150"/>
      <c r="CN126" s="150"/>
      <c r="CO126" s="150"/>
      <c r="CP126" s="150"/>
      <c r="CQ126" s="150"/>
      <c r="CR126" s="272"/>
      <c r="CS126" s="272"/>
      <c r="CT126" s="272"/>
      <c r="CU126" s="348"/>
    </row>
    <row r="127" spans="1:99" x14ac:dyDescent="0.2">
      <c r="A127" s="135" t="s">
        <v>130</v>
      </c>
      <c r="B127" s="25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5"/>
      <c r="AD127" s="15"/>
      <c r="AE127" s="15"/>
      <c r="AF127" s="15"/>
      <c r="AG127" s="15"/>
      <c r="AH127" s="15"/>
      <c r="AI127" s="15"/>
      <c r="AJ127" s="14"/>
      <c r="AK127" s="4"/>
      <c r="AL127" s="14"/>
      <c r="AM127" s="15"/>
      <c r="AN127" s="14"/>
      <c r="AO127" s="14"/>
      <c r="AP127" s="14"/>
      <c r="AQ127" s="14"/>
      <c r="AR127" s="14"/>
      <c r="AS127" s="4"/>
      <c r="AT127" s="15"/>
      <c r="AU127" s="15"/>
      <c r="AV127" s="14"/>
      <c r="AW127" s="14"/>
      <c r="AX127" s="14"/>
      <c r="AY127" s="14"/>
      <c r="AZ127" s="14"/>
      <c r="BA127" s="14"/>
      <c r="BB127" s="14"/>
      <c r="BC127" s="14"/>
      <c r="BD127" s="14"/>
      <c r="BE127" s="14"/>
      <c r="BF127" s="14"/>
      <c r="BG127" s="14"/>
      <c r="BH127" s="14"/>
      <c r="BI127" s="15"/>
      <c r="BJ127" s="14"/>
      <c r="BK127" s="14"/>
      <c r="BL127" s="14"/>
      <c r="BM127" s="14"/>
      <c r="BN127" s="14"/>
      <c r="BO127" s="14"/>
      <c r="BP127" s="4"/>
      <c r="BQ127" s="14"/>
      <c r="BR127" s="4"/>
      <c r="BS127" s="14"/>
      <c r="BT127" s="14"/>
      <c r="BU127" s="14"/>
      <c r="BV127" s="14"/>
      <c r="BW127" s="15"/>
      <c r="BX127" s="15"/>
      <c r="BY127" s="15"/>
      <c r="BZ127" s="14"/>
      <c r="CA127" s="14"/>
      <c r="CB127" s="14"/>
      <c r="CC127" s="14"/>
      <c r="CD127" s="14"/>
      <c r="CE127" s="14"/>
      <c r="CF127" s="14"/>
      <c r="CG127" s="14"/>
      <c r="CH127" s="14"/>
      <c r="CI127" s="14"/>
      <c r="CJ127" s="14"/>
      <c r="CK127" s="14"/>
      <c r="CL127" s="14"/>
      <c r="CM127" s="14"/>
      <c r="CN127" s="14"/>
      <c r="CO127" s="14"/>
      <c r="CP127" s="14"/>
      <c r="CQ127" s="14"/>
      <c r="CR127" s="15"/>
      <c r="CS127" s="15"/>
      <c r="CT127" s="15"/>
      <c r="CU127" s="17"/>
    </row>
    <row r="128" spans="1:99" x14ac:dyDescent="0.2">
      <c r="A128" s="23" t="s">
        <v>171</v>
      </c>
      <c r="B128" s="231"/>
      <c r="C128" s="314">
        <f t="shared" ref="C128:BN128" si="85">(C31*4)/((B88+C88)/2)</f>
        <v>1.3453962223018111E-2</v>
      </c>
      <c r="D128" s="314">
        <f t="shared" si="85"/>
        <v>1.1294310918689519E-2</v>
      </c>
      <c r="E128" s="314">
        <f t="shared" si="85"/>
        <v>1.167133835399007E-2</v>
      </c>
      <c r="F128" s="314">
        <f t="shared" si="85"/>
        <v>1.604704702423013E-2</v>
      </c>
      <c r="G128" s="314">
        <f t="shared" si="85"/>
        <v>1.3541856647820536E-2</v>
      </c>
      <c r="H128" s="314">
        <f t="shared" si="85"/>
        <v>1.249135189687018E-2</v>
      </c>
      <c r="I128" s="314">
        <f t="shared" si="85"/>
        <v>1.9809286422931543E-2</v>
      </c>
      <c r="J128" s="314">
        <f t="shared" si="85"/>
        <v>2.5052397978054496E-2</v>
      </c>
      <c r="K128" s="314">
        <f t="shared" si="85"/>
        <v>1.740815405446066E-2</v>
      </c>
      <c r="L128" s="314">
        <f t="shared" si="85"/>
        <v>1.8511364421416234E-2</v>
      </c>
      <c r="M128" s="314">
        <f t="shared" si="85"/>
        <v>1.8708209829737362E-2</v>
      </c>
      <c r="N128" s="314">
        <f t="shared" si="85"/>
        <v>1.7708079955357781E-2</v>
      </c>
      <c r="O128" s="314">
        <f t="shared" si="85"/>
        <v>2.0064186378224172E-2</v>
      </c>
      <c r="P128" s="314">
        <f t="shared" si="85"/>
        <v>1.3255035472422835E-2</v>
      </c>
      <c r="Q128" s="314">
        <f t="shared" si="85"/>
        <v>1.0544873366213342E-2</v>
      </c>
      <c r="R128" s="314">
        <f t="shared" si="85"/>
        <v>1.3393658514201807E-2</v>
      </c>
      <c r="S128" s="314">
        <f t="shared" si="85"/>
        <v>1.297409182690897E-2</v>
      </c>
      <c r="T128" s="314">
        <f t="shared" si="85"/>
        <v>1.2181948884373838E-2</v>
      </c>
      <c r="U128" s="314">
        <f t="shared" si="85"/>
        <v>1.1712985255331841E-2</v>
      </c>
      <c r="V128" s="314">
        <f t="shared" si="85"/>
        <v>1.1243625612970508E-2</v>
      </c>
      <c r="W128" s="314">
        <f t="shared" si="85"/>
        <v>1.3979738155937211E-2</v>
      </c>
      <c r="X128" s="314">
        <f t="shared" si="85"/>
        <v>1.3253498296337953E-2</v>
      </c>
      <c r="Y128" s="314">
        <f t="shared" si="85"/>
        <v>9.11391871917616E-3</v>
      </c>
      <c r="Z128" s="314">
        <f t="shared" si="85"/>
        <v>1.1110515572482497E-2</v>
      </c>
      <c r="AA128" s="314">
        <f t="shared" si="85"/>
        <v>1.1474322150126445E-2</v>
      </c>
      <c r="AB128" s="314">
        <f t="shared" si="85"/>
        <v>1.1003227891524574E-2</v>
      </c>
      <c r="AC128" s="315">
        <f t="shared" si="85"/>
        <v>1.0080343477916654E-2</v>
      </c>
      <c r="AD128" s="315">
        <f t="shared" si="85"/>
        <v>1.2024362940934988E-2</v>
      </c>
      <c r="AE128" s="315">
        <f t="shared" si="85"/>
        <v>1.147135832746164E-2</v>
      </c>
      <c r="AF128" s="315">
        <f t="shared" si="85"/>
        <v>1.1164177228809366E-2</v>
      </c>
      <c r="AG128" s="315">
        <f t="shared" si="85"/>
        <v>1.076797627275247E-2</v>
      </c>
      <c r="AH128" s="315">
        <f t="shared" si="85"/>
        <v>1.2925637621622899E-2</v>
      </c>
      <c r="AI128" s="315">
        <f t="shared" si="85"/>
        <v>1.1490857340134606E-2</v>
      </c>
      <c r="AJ128" s="314">
        <f t="shared" si="85"/>
        <v>1.1933487883728049E-2</v>
      </c>
      <c r="AK128" s="316">
        <f t="shared" si="85"/>
        <v>9.4668179902015776E-3</v>
      </c>
      <c r="AL128" s="314">
        <f t="shared" si="85"/>
        <v>9.3624373982116992E-3</v>
      </c>
      <c r="AM128" s="315">
        <f t="shared" si="85"/>
        <v>8.7672650444830906E-3</v>
      </c>
      <c r="AN128" s="314">
        <f t="shared" si="85"/>
        <v>8.6095437997493474E-3</v>
      </c>
      <c r="AO128" s="314">
        <f t="shared" si="85"/>
        <v>7.2003290461940903E-3</v>
      </c>
      <c r="AP128" s="314">
        <f t="shared" si="85"/>
        <v>8.0367556989561287E-3</v>
      </c>
      <c r="AQ128" s="314">
        <f t="shared" si="85"/>
        <v>8.1539210469710518E-3</v>
      </c>
      <c r="AR128" s="314">
        <f t="shared" si="85"/>
        <v>7.5434035826597926E-3</v>
      </c>
      <c r="AS128" s="316">
        <f t="shared" si="85"/>
        <v>8.871002018164471E-3</v>
      </c>
      <c r="AT128" s="315">
        <f t="shared" si="85"/>
        <v>8.2341325335467518E-3</v>
      </c>
      <c r="AU128" s="315">
        <f t="shared" si="85"/>
        <v>7.9512333567788359E-3</v>
      </c>
      <c r="AV128" s="314">
        <f t="shared" si="85"/>
        <v>6.6475149784993321E-3</v>
      </c>
      <c r="AW128" s="314">
        <f t="shared" si="85"/>
        <v>5.8851302707835056E-3</v>
      </c>
      <c r="AX128" s="314">
        <f t="shared" si="85"/>
        <v>5.9247577160891993E-3</v>
      </c>
      <c r="AY128" s="314">
        <f t="shared" si="85"/>
        <v>6.2701569775607431E-3</v>
      </c>
      <c r="AZ128" s="314">
        <f t="shared" si="85"/>
        <v>5.4658500371195249E-3</v>
      </c>
      <c r="BA128" s="314">
        <f t="shared" si="85"/>
        <v>5.6322790982590385E-3</v>
      </c>
      <c r="BB128" s="314">
        <f t="shared" si="85"/>
        <v>5.6360696554279372E-3</v>
      </c>
      <c r="BC128" s="314">
        <f t="shared" si="85"/>
        <v>5.5657370623516077E-3</v>
      </c>
      <c r="BD128" s="314">
        <f t="shared" si="85"/>
        <v>4.921728621984079E-3</v>
      </c>
      <c r="BE128" s="314">
        <f t="shared" si="85"/>
        <v>4.7376625147471556E-3</v>
      </c>
      <c r="BF128" s="314">
        <f t="shared" si="85"/>
        <v>5.2645350273663261E-3</v>
      </c>
      <c r="BG128" s="314">
        <f t="shared" si="85"/>
        <v>5.4651937748429894E-3</v>
      </c>
      <c r="BH128" s="314">
        <f t="shared" si="85"/>
        <v>5.1627996055283211E-3</v>
      </c>
      <c r="BI128" s="315">
        <f t="shared" si="85"/>
        <v>4.570203266521241E-3</v>
      </c>
      <c r="BJ128" s="314">
        <f t="shared" si="85"/>
        <v>5.3459103427731603E-3</v>
      </c>
      <c r="BK128" s="314">
        <f t="shared" si="85"/>
        <v>4.5525004824954326E-3</v>
      </c>
      <c r="BL128" s="314">
        <f t="shared" si="85"/>
        <v>4.3963219225599736E-3</v>
      </c>
      <c r="BM128" s="314">
        <f t="shared" si="85"/>
        <v>4.0099838080896299E-3</v>
      </c>
      <c r="BN128" s="314">
        <f t="shared" si="85"/>
        <v>4.1773886280514439E-3</v>
      </c>
      <c r="BO128" s="314">
        <f t="shared" ref="BO128:CU128" si="86">(BO31*4)/((BN88+BO88)/2)</f>
        <v>3.9581916359790947E-3</v>
      </c>
      <c r="BP128" s="316">
        <f t="shared" si="86"/>
        <v>3.5563355530394574E-3</v>
      </c>
      <c r="BQ128" s="314">
        <f t="shared" si="86"/>
        <v>3.2891887158144769E-3</v>
      </c>
      <c r="BR128" s="316">
        <f t="shared" si="86"/>
        <v>3.841646290545554E-3</v>
      </c>
      <c r="BS128" s="314">
        <f t="shared" si="86"/>
        <v>3.7968918351436592E-3</v>
      </c>
      <c r="BT128" s="314">
        <f t="shared" si="86"/>
        <v>3.2716575869661535E-3</v>
      </c>
      <c r="BU128" s="314">
        <f t="shared" si="86"/>
        <v>3.3484326911207437E-3</v>
      </c>
      <c r="BV128" s="317">
        <f t="shared" si="86"/>
        <v>3.3841914019777683E-3</v>
      </c>
      <c r="BW128" s="315">
        <f t="shared" si="86"/>
        <v>3.3685655918507108E-3</v>
      </c>
      <c r="BX128" s="315">
        <f t="shared" si="86"/>
        <v>3.2704222366008082E-3</v>
      </c>
      <c r="BY128" s="315">
        <f t="shared" si="86"/>
        <v>3.4007788906869861E-3</v>
      </c>
      <c r="BZ128" s="314">
        <f t="shared" si="86"/>
        <v>3.3503333482071923E-3</v>
      </c>
      <c r="CA128" s="314">
        <f t="shared" si="86"/>
        <v>5.5849087247951002E-3</v>
      </c>
      <c r="CB128" s="314">
        <f t="shared" si="86"/>
        <v>5.1740118461119011E-3</v>
      </c>
      <c r="CC128" s="314">
        <f t="shared" si="86"/>
        <v>4.8011416548793861E-3</v>
      </c>
      <c r="CD128" s="314">
        <f t="shared" si="86"/>
        <v>5.2075633259797954E-3</v>
      </c>
      <c r="CE128" s="314">
        <f t="shared" si="86"/>
        <v>6.2509315065328568E-3</v>
      </c>
      <c r="CF128" s="314">
        <f t="shared" si="86"/>
        <v>4.4083799890719793E-3</v>
      </c>
      <c r="CG128" s="314">
        <f t="shared" si="86"/>
        <v>4.2355736443077871E-3</v>
      </c>
      <c r="CH128" s="314">
        <f t="shared" si="86"/>
        <v>4.2689265617302432E-3</v>
      </c>
      <c r="CI128" s="314">
        <f t="shared" si="86"/>
        <v>3.9611621677209524E-3</v>
      </c>
      <c r="CJ128" s="314">
        <f t="shared" si="86"/>
        <v>3.5463719610312173E-3</v>
      </c>
      <c r="CK128" s="314">
        <f t="shared" si="86"/>
        <v>4.5816825637538172E-3</v>
      </c>
      <c r="CL128" s="314">
        <f t="shared" si="86"/>
        <v>5.1970698952489378E-3</v>
      </c>
      <c r="CM128" s="314">
        <f t="shared" si="86"/>
        <v>5.0336036100029624E-3</v>
      </c>
      <c r="CN128" s="314">
        <f t="shared" si="86"/>
        <v>4.5875027901898678E-3</v>
      </c>
      <c r="CO128" s="314">
        <f t="shared" si="86"/>
        <v>4.7029961163177741E-3</v>
      </c>
      <c r="CP128" s="314">
        <f t="shared" si="86"/>
        <v>4.715507444322301E-3</v>
      </c>
      <c r="CQ128" s="314">
        <f t="shared" si="86"/>
        <v>4.6362410402797736E-3</v>
      </c>
      <c r="CR128" s="315">
        <f t="shared" si="86"/>
        <v>4.2384703368713835E-3</v>
      </c>
      <c r="CS128" s="315">
        <f t="shared" si="86"/>
        <v>4.2113865296857372E-3</v>
      </c>
      <c r="CT128" s="315">
        <f t="shared" si="86"/>
        <v>4.5124066738419389E-3</v>
      </c>
      <c r="CU128" s="349">
        <f t="shared" si="86"/>
        <v>4.88510013732491E-3</v>
      </c>
    </row>
    <row r="129" spans="1:101" x14ac:dyDescent="0.2">
      <c r="A129" s="58" t="s">
        <v>172</v>
      </c>
      <c r="B129" s="286"/>
      <c r="C129" s="77">
        <f t="shared" ref="C129:BN129" si="87">(-C37*4)/((B88+C88)/2)</f>
        <v>1.4057708777776047E-2</v>
      </c>
      <c r="D129" s="77">
        <f t="shared" si="87"/>
        <v>1.2774892404575909E-2</v>
      </c>
      <c r="E129" s="77">
        <f t="shared" si="87"/>
        <v>1.1141265070413022E-2</v>
      </c>
      <c r="F129" s="77">
        <f t="shared" si="87"/>
        <v>1.078434501151102E-2</v>
      </c>
      <c r="G129" s="77">
        <f t="shared" si="87"/>
        <v>1.2426135327375526E-2</v>
      </c>
      <c r="H129" s="77">
        <f t="shared" si="87"/>
        <v>1.2133875810065439E-2</v>
      </c>
      <c r="I129" s="77">
        <f t="shared" si="87"/>
        <v>1.4439133179734834E-2</v>
      </c>
      <c r="J129" s="77">
        <f t="shared" si="87"/>
        <v>1.4769736571733857E-2</v>
      </c>
      <c r="K129" s="77">
        <f t="shared" si="87"/>
        <v>1.3754776590943282E-2</v>
      </c>
      <c r="L129" s="77">
        <f t="shared" si="87"/>
        <v>1.1752124352331608E-2</v>
      </c>
      <c r="M129" s="77">
        <f t="shared" si="87"/>
        <v>9.5558466027894553E-3</v>
      </c>
      <c r="N129" s="77">
        <f t="shared" si="87"/>
        <v>9.8258667315314283E-3</v>
      </c>
      <c r="O129" s="77">
        <f t="shared" si="87"/>
        <v>8.4891661522298427E-3</v>
      </c>
      <c r="P129" s="77">
        <f t="shared" si="87"/>
        <v>6.7636996075034336E-3</v>
      </c>
      <c r="Q129" s="77">
        <f t="shared" si="87"/>
        <v>6.1733358173100498E-3</v>
      </c>
      <c r="R129" s="77">
        <f t="shared" si="87"/>
        <v>7.8831429052142136E-3</v>
      </c>
      <c r="S129" s="77">
        <f t="shared" si="87"/>
        <v>7.0920056228177576E-3</v>
      </c>
      <c r="T129" s="77">
        <f t="shared" si="87"/>
        <v>6.4051480836840972E-3</v>
      </c>
      <c r="U129" s="77">
        <f t="shared" si="87"/>
        <v>4.8555751728401667E-3</v>
      </c>
      <c r="V129" s="77">
        <f t="shared" si="87"/>
        <v>5.2285667036783296E-3</v>
      </c>
      <c r="W129" s="77">
        <f t="shared" si="87"/>
        <v>5.3827370900458773E-3</v>
      </c>
      <c r="X129" s="77">
        <f t="shared" si="87"/>
        <v>6.6820073439412481E-3</v>
      </c>
      <c r="Y129" s="77">
        <f t="shared" si="87"/>
        <v>4.226697606220904E-3</v>
      </c>
      <c r="Z129" s="77">
        <f t="shared" si="87"/>
        <v>5.4949063738505546E-3</v>
      </c>
      <c r="AA129" s="77">
        <f t="shared" si="87"/>
        <v>4.9375144697710021E-3</v>
      </c>
      <c r="AB129" s="77">
        <f t="shared" si="87"/>
        <v>5.150259767127136E-3</v>
      </c>
      <c r="AC129" s="287">
        <f t="shared" si="87"/>
        <v>4.2263814598390743E-3</v>
      </c>
      <c r="AD129" s="288">
        <f t="shared" si="87"/>
        <v>5.513551822013958E-3</v>
      </c>
      <c r="AE129" s="288">
        <f t="shared" si="87"/>
        <v>5.6820006351943975E-3</v>
      </c>
      <c r="AF129" s="288">
        <f t="shared" si="87"/>
        <v>6.0588888089346035E-3</v>
      </c>
      <c r="AG129" s="288">
        <f t="shared" si="87"/>
        <v>5.1009279682158373E-3</v>
      </c>
      <c r="AH129" s="288">
        <f t="shared" si="87"/>
        <v>7.6892363216154785E-3</v>
      </c>
      <c r="AI129" s="288">
        <f t="shared" si="87"/>
        <v>5.7928967489388359E-3</v>
      </c>
      <c r="AJ129" s="77">
        <f t="shared" si="87"/>
        <v>5.3987124552473164E-3</v>
      </c>
      <c r="AK129" s="288">
        <f t="shared" si="87"/>
        <v>3.7343434451550172E-3</v>
      </c>
      <c r="AL129" s="77">
        <f t="shared" si="87"/>
        <v>4.2634290287060592E-3</v>
      </c>
      <c r="AM129" s="288">
        <f t="shared" si="87"/>
        <v>3.6457101726145129E-3</v>
      </c>
      <c r="AN129" s="77">
        <f t="shared" si="87"/>
        <v>4.1368470418317923E-3</v>
      </c>
      <c r="AO129" s="77">
        <f t="shared" si="87"/>
        <v>3.3080551411509614E-3</v>
      </c>
      <c r="AP129" s="77">
        <f t="shared" si="87"/>
        <v>3.9033653342093098E-3</v>
      </c>
      <c r="AQ129" s="77">
        <f t="shared" si="87"/>
        <v>3.3460068143686813E-3</v>
      </c>
      <c r="AR129" s="77">
        <f t="shared" si="87"/>
        <v>4.2189744673767939E-3</v>
      </c>
      <c r="AS129" s="287">
        <f t="shared" si="87"/>
        <v>3.7759105519967287E-3</v>
      </c>
      <c r="AT129" s="288">
        <f t="shared" si="87"/>
        <v>4.9100453087901827E-3</v>
      </c>
      <c r="AU129" s="288">
        <f t="shared" si="87"/>
        <v>4.3865754019669538E-3</v>
      </c>
      <c r="AV129" s="77">
        <f t="shared" si="87"/>
        <v>4.315074626297914E-3</v>
      </c>
      <c r="AW129" s="77">
        <f t="shared" si="87"/>
        <v>3.8362119148864825E-3</v>
      </c>
      <c r="AX129" s="77">
        <f t="shared" si="87"/>
        <v>4.1963928486396518E-3</v>
      </c>
      <c r="AY129" s="77">
        <f t="shared" si="87"/>
        <v>3.9571741878328881E-3</v>
      </c>
      <c r="AZ129" s="77">
        <f t="shared" si="87"/>
        <v>3.9845747752206553E-3</v>
      </c>
      <c r="BA129" s="77">
        <f t="shared" si="87"/>
        <v>2.8065399069478001E-3</v>
      </c>
      <c r="BB129" s="77">
        <f t="shared" si="87"/>
        <v>3.3068918876692395E-3</v>
      </c>
      <c r="BC129" s="77">
        <f t="shared" si="87"/>
        <v>3.0489994126357764E-3</v>
      </c>
      <c r="BD129" s="77">
        <f t="shared" si="87"/>
        <v>2.8639640123745845E-3</v>
      </c>
      <c r="BE129" s="77">
        <f t="shared" si="87"/>
        <v>2.6544146203844152E-3</v>
      </c>
      <c r="BF129" s="77">
        <f t="shared" si="87"/>
        <v>2.9908325368842997E-3</v>
      </c>
      <c r="BG129" s="77">
        <f t="shared" si="87"/>
        <v>2.5982762623234222E-3</v>
      </c>
      <c r="BH129" s="77">
        <f t="shared" si="87"/>
        <v>2.3750625294781825E-3</v>
      </c>
      <c r="BI129" s="287">
        <f t="shared" si="87"/>
        <v>2.1087343477838951E-3</v>
      </c>
      <c r="BJ129" s="77">
        <f t="shared" si="87"/>
        <v>2.3457834776199026E-3</v>
      </c>
      <c r="BK129" s="77">
        <f t="shared" si="87"/>
        <v>2.2223588588967573E-3</v>
      </c>
      <c r="BL129" s="77">
        <f t="shared" si="87"/>
        <v>2.1775127650310025E-3</v>
      </c>
      <c r="BM129" s="77">
        <f t="shared" si="87"/>
        <v>1.7665435825500182E-3</v>
      </c>
      <c r="BN129" s="77">
        <f t="shared" si="87"/>
        <v>2.1841119485149271E-3</v>
      </c>
      <c r="BO129" s="77">
        <f t="shared" ref="BO129:BU129" si="88">(-BO37*4)/((BN88+BO88)/2)</f>
        <v>2.0089185946185902E-3</v>
      </c>
      <c r="BP129" s="287">
        <f t="shared" si="88"/>
        <v>1.9872094718909367E-3</v>
      </c>
      <c r="BQ129" s="77">
        <f t="shared" si="88"/>
        <v>1.7844228322397458E-3</v>
      </c>
      <c r="BR129" s="77">
        <f t="shared" si="88"/>
        <v>2.2309986906475943E-3</v>
      </c>
      <c r="BS129" s="77">
        <f t="shared" si="88"/>
        <v>2.1293514046627489E-3</v>
      </c>
      <c r="BT129" s="77">
        <f t="shared" si="88"/>
        <v>2.0549655626116029E-3</v>
      </c>
      <c r="BU129" s="77">
        <f t="shared" si="88"/>
        <v>1.6868917950906186E-3</v>
      </c>
      <c r="BV129" s="77">
        <f>(-(BV37+35)*4)/((BU88+BV88)/2)</f>
        <v>1.9593450085112368E-3</v>
      </c>
      <c r="BW129" s="288">
        <f t="shared" ref="BW129:CU129" si="89">(-BW37*4)/((BV88+BW88)/2)</f>
        <v>2.0670774730765281E-3</v>
      </c>
      <c r="BX129" s="288">
        <f t="shared" si="89"/>
        <v>1.9085738822807803E-3</v>
      </c>
      <c r="BY129" s="288">
        <f t="shared" si="89"/>
        <v>1.6123359451822254E-3</v>
      </c>
      <c r="BZ129" s="77">
        <f t="shared" si="89"/>
        <v>1.9069724712443932E-3</v>
      </c>
      <c r="CA129" s="77">
        <f t="shared" si="89"/>
        <v>1.8445029001459908E-3</v>
      </c>
      <c r="CB129" s="77">
        <f t="shared" si="89"/>
        <v>1.824799929232438E-3</v>
      </c>
      <c r="CC129" s="77">
        <f t="shared" si="89"/>
        <v>1.4784677506448488E-3</v>
      </c>
      <c r="CD129" s="77">
        <f t="shared" si="89"/>
        <v>1.6308760428532106E-3</v>
      </c>
      <c r="CE129" s="77">
        <f t="shared" si="89"/>
        <v>1.3226487371858823E-3</v>
      </c>
      <c r="CF129" s="77">
        <f t="shared" si="89"/>
        <v>1.265693934288288E-3</v>
      </c>
      <c r="CG129" s="77">
        <f t="shared" si="89"/>
        <v>1.0629144335158435E-3</v>
      </c>
      <c r="CH129" s="77">
        <f t="shared" si="89"/>
        <v>1.3092427234385141E-3</v>
      </c>
      <c r="CI129" s="77">
        <f t="shared" si="89"/>
        <v>1.2822117523464171E-3</v>
      </c>
      <c r="CJ129" s="77">
        <f t="shared" si="89"/>
        <v>1.5609017312553609E-3</v>
      </c>
      <c r="CK129" s="77">
        <f t="shared" si="89"/>
        <v>1.4714703012114845E-3</v>
      </c>
      <c r="CL129" s="77">
        <f t="shared" si="89"/>
        <v>1.6767861964778639E-3</v>
      </c>
      <c r="CM129" s="77">
        <f t="shared" si="89"/>
        <v>1.6771616246599227E-3</v>
      </c>
      <c r="CN129" s="77">
        <f t="shared" si="89"/>
        <v>1.5821499861791461E-3</v>
      </c>
      <c r="CO129" s="77">
        <f t="shared" si="89"/>
        <v>1.4635746071049373E-3</v>
      </c>
      <c r="CP129" s="77">
        <f t="shared" si="89"/>
        <v>1.6365632991821566E-3</v>
      </c>
      <c r="CQ129" s="77">
        <f t="shared" si="89"/>
        <v>1.4786644999002106E-3</v>
      </c>
      <c r="CR129" s="288">
        <f t="shared" si="89"/>
        <v>1.556064673091362E-3</v>
      </c>
      <c r="CS129" s="288">
        <f t="shared" si="89"/>
        <v>1.3182024326233873E-3</v>
      </c>
      <c r="CT129" s="288">
        <f t="shared" si="89"/>
        <v>1.4254370185382912E-3</v>
      </c>
      <c r="CU129" s="350">
        <f t="shared" si="89"/>
        <v>1.4145353039238914E-3</v>
      </c>
    </row>
    <row r="130" spans="1:101" x14ac:dyDescent="0.2">
      <c r="A130" s="58" t="s">
        <v>173</v>
      </c>
      <c r="B130" s="289"/>
      <c r="C130" s="77">
        <f t="shared" ref="C130:BN130" si="90">(C43*4)/((B88+C88)/2)</f>
        <v>-6.0374655475793583E-4</v>
      </c>
      <c r="D130" s="77">
        <f t="shared" si="90"/>
        <v>-1.4805814858863898E-3</v>
      </c>
      <c r="E130" s="77">
        <f t="shared" si="90"/>
        <v>5.3007328357704807E-4</v>
      </c>
      <c r="F130" s="77">
        <f t="shared" si="90"/>
        <v>5.2627020127191098E-3</v>
      </c>
      <c r="G130" s="77">
        <f t="shared" si="90"/>
        <v>1.1157213204450115E-3</v>
      </c>
      <c r="H130" s="77">
        <f t="shared" si="90"/>
        <v>3.0669823356543072E-4</v>
      </c>
      <c r="I130" s="77">
        <f t="shared" si="90"/>
        <v>5.4357469068487983E-3</v>
      </c>
      <c r="J130" s="77">
        <f t="shared" si="90"/>
        <v>1.021690708091892E-2</v>
      </c>
      <c r="K130" s="77">
        <f t="shared" si="90"/>
        <v>3.653377463517377E-3</v>
      </c>
      <c r="L130" s="77">
        <f t="shared" si="90"/>
        <v>6.7592400690846266E-3</v>
      </c>
      <c r="M130" s="77">
        <f t="shared" si="90"/>
        <v>9.1523632269479085E-3</v>
      </c>
      <c r="N130" s="77">
        <f t="shared" si="90"/>
        <v>7.8822132238263506E-3</v>
      </c>
      <c r="O130" s="77">
        <f t="shared" si="90"/>
        <v>1.1575020225994331E-2</v>
      </c>
      <c r="P130" s="77">
        <f t="shared" si="90"/>
        <v>6.4913358649194017E-3</v>
      </c>
      <c r="Q130" s="77">
        <f t="shared" si="90"/>
        <v>4.3715375489032917E-3</v>
      </c>
      <c r="R130" s="77">
        <f t="shared" si="90"/>
        <v>5.5105156089875944E-3</v>
      </c>
      <c r="S130" s="77">
        <f t="shared" si="90"/>
        <v>5.8820862040912135E-3</v>
      </c>
      <c r="T130" s="77">
        <f t="shared" si="90"/>
        <v>5.7768008006897405E-3</v>
      </c>
      <c r="U130" s="77">
        <f t="shared" si="90"/>
        <v>6.8574100824916745E-3</v>
      </c>
      <c r="V130" s="77">
        <f t="shared" si="90"/>
        <v>6.028558603861589E-3</v>
      </c>
      <c r="W130" s="77">
        <f t="shared" si="90"/>
        <v>8.597001065891334E-3</v>
      </c>
      <c r="X130" s="77">
        <f t="shared" si="90"/>
        <v>6.571490952396705E-3</v>
      </c>
      <c r="Y130" s="77">
        <f t="shared" si="90"/>
        <v>4.8872211129552569E-3</v>
      </c>
      <c r="Z130" s="77">
        <f t="shared" si="90"/>
        <v>5.6156091986319422E-3</v>
      </c>
      <c r="AA130" s="77">
        <f t="shared" si="90"/>
        <v>6.4944122539740403E-3</v>
      </c>
      <c r="AB130" s="77">
        <f t="shared" si="90"/>
        <v>5.8529681243974377E-3</v>
      </c>
      <c r="AC130" s="77">
        <f t="shared" si="90"/>
        <v>5.853962018077581E-3</v>
      </c>
      <c r="AD130" s="77">
        <f t="shared" si="90"/>
        <v>6.4347144761847542E-3</v>
      </c>
      <c r="AE130" s="77">
        <f t="shared" si="90"/>
        <v>5.7893576922672437E-3</v>
      </c>
      <c r="AF130" s="77">
        <f t="shared" si="90"/>
        <v>5.1052884198747638E-3</v>
      </c>
      <c r="AG130" s="77">
        <f t="shared" si="90"/>
        <v>5.6670483045366338E-3</v>
      </c>
      <c r="AH130" s="77">
        <f t="shared" si="90"/>
        <v>5.2364013000074216E-3</v>
      </c>
      <c r="AI130" s="77">
        <f t="shared" si="90"/>
        <v>5.6979605911957705E-3</v>
      </c>
      <c r="AJ130" s="77">
        <f t="shared" si="90"/>
        <v>6.5347754284807331E-3</v>
      </c>
      <c r="AK130" s="77">
        <f t="shared" si="90"/>
        <v>5.7324745450465621E-3</v>
      </c>
      <c r="AL130" s="77">
        <f t="shared" si="90"/>
        <v>5.09900836950564E-3</v>
      </c>
      <c r="AM130" s="77">
        <f t="shared" si="90"/>
        <v>5.1215548718685777E-3</v>
      </c>
      <c r="AN130" s="77">
        <f t="shared" si="90"/>
        <v>4.4726967579175551E-3</v>
      </c>
      <c r="AO130" s="77">
        <f t="shared" si="90"/>
        <v>3.8922739050431289E-3</v>
      </c>
      <c r="AP130" s="77">
        <f t="shared" si="90"/>
        <v>4.1333903647468185E-3</v>
      </c>
      <c r="AQ130" s="77">
        <f t="shared" si="90"/>
        <v>4.8079142326023696E-3</v>
      </c>
      <c r="AR130" s="77">
        <f t="shared" si="90"/>
        <v>3.0563161280016092E-3</v>
      </c>
      <c r="AS130" s="77">
        <f t="shared" si="90"/>
        <v>5.0950914661677428E-3</v>
      </c>
      <c r="AT130" s="77">
        <f t="shared" si="90"/>
        <v>3.3240872247565696E-3</v>
      </c>
      <c r="AU130" s="77">
        <f t="shared" si="90"/>
        <v>3.5646579548118812E-3</v>
      </c>
      <c r="AV130" s="77">
        <f t="shared" si="90"/>
        <v>2.3324403522014181E-3</v>
      </c>
      <c r="AW130" s="77">
        <f t="shared" si="90"/>
        <v>2.0008431663004942E-3</v>
      </c>
      <c r="AX130" s="77">
        <f t="shared" si="90"/>
        <v>1.7283648674495482E-3</v>
      </c>
      <c r="AY130" s="77">
        <f t="shared" si="90"/>
        <v>2.312982789727855E-3</v>
      </c>
      <c r="AZ130" s="77">
        <f t="shared" si="90"/>
        <v>1.4812752618988702E-3</v>
      </c>
      <c r="BA130" s="77">
        <f t="shared" si="90"/>
        <v>2.8257391913112384E-3</v>
      </c>
      <c r="BB130" s="77">
        <f t="shared" si="90"/>
        <v>2.2934661922979064E-3</v>
      </c>
      <c r="BC130" s="77">
        <f t="shared" si="90"/>
        <v>2.5134285554976464E-3</v>
      </c>
      <c r="BD130" s="77">
        <f t="shared" si="90"/>
        <v>2.0546939931064662E-3</v>
      </c>
      <c r="BE130" s="77">
        <f t="shared" si="90"/>
        <v>2.086179005913518E-3</v>
      </c>
      <c r="BF130" s="77">
        <f t="shared" si="90"/>
        <v>2.2877084497256537E-3</v>
      </c>
      <c r="BG130" s="77">
        <f t="shared" si="90"/>
        <v>2.8644032893490566E-3</v>
      </c>
      <c r="BH130" s="77">
        <f t="shared" si="90"/>
        <v>2.7827971014907035E-3</v>
      </c>
      <c r="BI130" s="287">
        <f t="shared" si="90"/>
        <v>2.4604263335973276E-3</v>
      </c>
      <c r="BJ130" s="77">
        <f t="shared" si="90"/>
        <v>3.0032703003921028E-3</v>
      </c>
      <c r="BK130" s="77">
        <f t="shared" si="90"/>
        <v>2.3274784291858761E-3</v>
      </c>
      <c r="BL130" s="77">
        <f t="shared" si="90"/>
        <v>2.2143926005254609E-3</v>
      </c>
      <c r="BM130" s="77">
        <f t="shared" si="90"/>
        <v>2.2403243866537404E-3</v>
      </c>
      <c r="BN130" s="77">
        <f t="shared" si="90"/>
        <v>1.9935778723223032E-3</v>
      </c>
      <c r="BO130" s="77">
        <f t="shared" ref="BO130:BU130" si="91">(BO43*4)/((BN88+BO88)/2)</f>
        <v>1.9527534402150012E-3</v>
      </c>
      <c r="BP130" s="287">
        <f t="shared" si="91"/>
        <v>1.5701919355890412E-3</v>
      </c>
      <c r="BQ130" s="77">
        <f t="shared" si="91"/>
        <v>1.5059267197331306E-3</v>
      </c>
      <c r="BR130" s="77">
        <f t="shared" si="91"/>
        <v>1.6110063528859359E-3</v>
      </c>
      <c r="BS130" s="77">
        <f t="shared" si="91"/>
        <v>1.6724440594983513E-3</v>
      </c>
      <c r="BT130" s="77">
        <f t="shared" si="91"/>
        <v>1.2072553468576723E-3</v>
      </c>
      <c r="BU130" s="77">
        <f t="shared" si="91"/>
        <v>1.656049816287026E-3</v>
      </c>
      <c r="BV130" s="77">
        <f>((BV43+35)*4)/((BU88+BV88)/2)</f>
        <v>1.411795302240402E-3</v>
      </c>
      <c r="BW130" s="288">
        <f t="shared" ref="BW130:CS130" si="92">(BW43*4)/((BV88+BW88)/2)</f>
        <v>1.2581096588230919E-3</v>
      </c>
      <c r="BX130" s="288">
        <f t="shared" si="92"/>
        <v>1.3521467889674435E-3</v>
      </c>
      <c r="BY130" s="288">
        <f t="shared" si="92"/>
        <v>1.7656811557904683E-3</v>
      </c>
      <c r="BZ130" s="77">
        <f t="shared" si="92"/>
        <v>1.4277894131047041E-3</v>
      </c>
      <c r="CA130" s="77">
        <f t="shared" si="92"/>
        <v>3.7211192467512862E-3</v>
      </c>
      <c r="CB130" s="77">
        <f t="shared" si="92"/>
        <v>3.279692463383015E-3</v>
      </c>
      <c r="CC130" s="77">
        <f t="shared" si="92"/>
        <v>3.3080659490869529E-3</v>
      </c>
      <c r="CD130" s="77">
        <f t="shared" si="92"/>
        <v>3.5839463039607079E-3</v>
      </c>
      <c r="CE130" s="77">
        <f t="shared" si="92"/>
        <v>4.9376583050955792E-3</v>
      </c>
      <c r="CF130" s="77">
        <f t="shared" si="92"/>
        <v>3.1376589412656004E-3</v>
      </c>
      <c r="CG130" s="77">
        <f t="shared" si="92"/>
        <v>3.1697741123960306E-3</v>
      </c>
      <c r="CH130" s="77">
        <f t="shared" si="92"/>
        <v>2.9581540360985397E-3</v>
      </c>
      <c r="CI130" s="77">
        <f t="shared" si="92"/>
        <v>2.6876662020700473E-3</v>
      </c>
      <c r="CJ130" s="77">
        <f t="shared" si="92"/>
        <v>1.9778010130220638E-3</v>
      </c>
      <c r="CK130" s="77">
        <f t="shared" si="92"/>
        <v>3.107384329268101E-3</v>
      </c>
      <c r="CL130" s="77">
        <f t="shared" si="92"/>
        <v>3.5142894246352114E-3</v>
      </c>
      <c r="CM130" s="77">
        <f t="shared" si="92"/>
        <v>3.3552999131140769E-3</v>
      </c>
      <c r="CN130" s="77">
        <f t="shared" si="92"/>
        <v>3.0071414972515781E-3</v>
      </c>
      <c r="CO130" s="77">
        <f t="shared" si="92"/>
        <v>3.2386043099369719E-3</v>
      </c>
      <c r="CP130" s="77">
        <f t="shared" si="92"/>
        <v>3.0973247826636585E-3</v>
      </c>
      <c r="CQ130" s="77">
        <f t="shared" si="92"/>
        <v>3.1548790294889002E-3</v>
      </c>
      <c r="CR130" s="288">
        <f t="shared" si="92"/>
        <v>2.6828004970493396E-3</v>
      </c>
      <c r="CS130" s="288">
        <f t="shared" si="92"/>
        <v>2.8906148768846375E-3</v>
      </c>
      <c r="CT130" s="288">
        <f>(CT43*4)/((CS88+CT88)/2)</f>
        <v>3.0933755398449957E-3</v>
      </c>
      <c r="CU130" s="350">
        <f>(CU43*4)/((CT88+CU88)/2)</f>
        <v>3.4702497663972411E-3</v>
      </c>
    </row>
    <row r="131" spans="1:101" ht="15" x14ac:dyDescent="0.2">
      <c r="A131" s="23" t="s">
        <v>238</v>
      </c>
      <c r="B131" s="231"/>
      <c r="C131" s="75">
        <f>(C17*4)/((B84+C84)/2)</f>
        <v>0</v>
      </c>
      <c r="D131" s="75">
        <f t="shared" ref="D131:BN131" si="93">(D17*4)/((C84+D84)/2)</f>
        <v>0</v>
      </c>
      <c r="E131" s="75">
        <f t="shared" si="93"/>
        <v>6.1538461538461538E-3</v>
      </c>
      <c r="F131" s="75">
        <f t="shared" si="93"/>
        <v>5.8181818181818187E-3</v>
      </c>
      <c r="G131" s="75">
        <f t="shared" si="93"/>
        <v>5.5172413793103453E-3</v>
      </c>
      <c r="H131" s="75">
        <f t="shared" si="93"/>
        <v>9.0322580645161282E-3</v>
      </c>
      <c r="I131" s="75">
        <f t="shared" si="93"/>
        <v>5.9701492537313433E-3</v>
      </c>
      <c r="J131" s="75">
        <f t="shared" si="93"/>
        <v>4.383561643835617E-3</v>
      </c>
      <c r="K131" s="75">
        <f t="shared" si="93"/>
        <v>3.1168831168831169E-3</v>
      </c>
      <c r="L131" s="75">
        <f t="shared" si="93"/>
        <v>4.0506329113924053E-3</v>
      </c>
      <c r="M131" s="75">
        <f t="shared" si="93"/>
        <v>5.4545454545454541E-3</v>
      </c>
      <c r="N131" s="75">
        <f t="shared" si="93"/>
        <v>4.8979591836734691E-3</v>
      </c>
      <c r="O131" s="75">
        <f t="shared" si="93"/>
        <v>6.918238993710692E-3</v>
      </c>
      <c r="P131" s="75">
        <f t="shared" si="93"/>
        <v>1.0289389067524116E-2</v>
      </c>
      <c r="Q131" s="75">
        <f t="shared" si="93"/>
        <v>7.1301247771836003E-3</v>
      </c>
      <c r="R131" s="75">
        <f t="shared" si="93"/>
        <v>1.0821643286573148E-2</v>
      </c>
      <c r="S131" s="75">
        <f t="shared" si="93"/>
        <v>2.218168551623495E-2</v>
      </c>
      <c r="T131" s="75">
        <f t="shared" si="93"/>
        <v>1.0816542948038176E-2</v>
      </c>
      <c r="U131" s="75">
        <f t="shared" si="93"/>
        <v>1.2212589521296644E-2</v>
      </c>
      <c r="V131" s="75">
        <f t="shared" si="93"/>
        <v>1.3945578231292518E-2</v>
      </c>
      <c r="W131" s="75">
        <f t="shared" si="93"/>
        <v>1.4878638226331826E-2</v>
      </c>
      <c r="X131" s="75">
        <f t="shared" si="93"/>
        <v>9.5556617295747739E-3</v>
      </c>
      <c r="Y131" s="75">
        <f t="shared" si="93"/>
        <v>4.5349730976172176E-3</v>
      </c>
      <c r="Z131" s="75">
        <f t="shared" si="93"/>
        <v>5.6690837178642057E-3</v>
      </c>
      <c r="AA131" s="75">
        <f t="shared" si="93"/>
        <v>7.5200918484500572E-3</v>
      </c>
      <c r="AB131" s="75">
        <f t="shared" si="93"/>
        <v>8.778869465356642E-3</v>
      </c>
      <c r="AC131" s="290">
        <f t="shared" si="93"/>
        <v>8.9845653939886281E-3</v>
      </c>
      <c r="AD131" s="291">
        <f t="shared" si="93"/>
        <v>8.4920945304206939E-3</v>
      </c>
      <c r="AE131" s="291">
        <f t="shared" si="93"/>
        <v>5.7234080293265535E-3</v>
      </c>
      <c r="AF131" s="291">
        <f t="shared" si="93"/>
        <v>7.0258486452818431E-3</v>
      </c>
      <c r="AG131" s="291">
        <f t="shared" si="93"/>
        <v>4.243750414428751E-3</v>
      </c>
      <c r="AH131" s="291">
        <f t="shared" si="93"/>
        <v>4.2511713495343448E-3</v>
      </c>
      <c r="AI131" s="291">
        <f t="shared" si="93"/>
        <v>4.4298223853939268E-3</v>
      </c>
      <c r="AJ131" s="75">
        <f t="shared" si="93"/>
        <v>5.5130935972935724E-3</v>
      </c>
      <c r="AK131" s="291">
        <f t="shared" si="93"/>
        <v>5.0243973138798977E-3</v>
      </c>
      <c r="AL131" s="75">
        <f t="shared" si="93"/>
        <v>5.5372338259842844E-3</v>
      </c>
      <c r="AM131" s="291">
        <f t="shared" si="93"/>
        <v>5.4717690913443449E-3</v>
      </c>
      <c r="AN131" s="75">
        <f t="shared" si="93"/>
        <v>5.5345911949685536E-3</v>
      </c>
      <c r="AO131" s="75">
        <f t="shared" si="93"/>
        <v>4.4460911448684698E-3</v>
      </c>
      <c r="AP131" s="75">
        <f t="shared" si="93"/>
        <v>4.8762081676486805E-3</v>
      </c>
      <c r="AQ131" s="75">
        <f t="shared" si="93"/>
        <v>4.6302676184438989E-3</v>
      </c>
      <c r="AR131" s="75">
        <f t="shared" si="93"/>
        <v>4.0549553154595169E-3</v>
      </c>
      <c r="AS131" s="290">
        <f t="shared" si="93"/>
        <v>3.8070311105823569E-3</v>
      </c>
      <c r="AT131" s="291">
        <f t="shared" si="93"/>
        <v>3.7527223990618196E-3</v>
      </c>
      <c r="AU131" s="291">
        <f t="shared" si="93"/>
        <v>4.1725470945572808E-3</v>
      </c>
      <c r="AV131" s="75">
        <f t="shared" si="93"/>
        <v>3.5034450543033981E-3</v>
      </c>
      <c r="AW131" s="75">
        <f t="shared" si="93"/>
        <v>3.6878043158834885E-3</v>
      </c>
      <c r="AX131" s="75">
        <f t="shared" si="93"/>
        <v>3.69484894588133E-3</v>
      </c>
      <c r="AY131" s="75">
        <f t="shared" si="93"/>
        <v>3.745872147469072E-3</v>
      </c>
      <c r="AZ131" s="75">
        <f t="shared" si="93"/>
        <v>3.6117381489841984E-3</v>
      </c>
      <c r="BA131" s="75">
        <f t="shared" si="93"/>
        <v>3.6485001762059746E-3</v>
      </c>
      <c r="BB131" s="75">
        <f t="shared" si="93"/>
        <v>3.2900271053369476E-3</v>
      </c>
      <c r="BC131" s="75">
        <f t="shared" si="93"/>
        <v>3.3084635900205933E-3</v>
      </c>
      <c r="BD131" s="75">
        <f t="shared" si="93"/>
        <v>3.2101774514757897E-3</v>
      </c>
      <c r="BE131" s="75">
        <f t="shared" si="93"/>
        <v>3.3256649311861806E-3</v>
      </c>
      <c r="BF131" s="75">
        <f t="shared" si="93"/>
        <v>3.1839682620416051E-3</v>
      </c>
      <c r="BG131" s="75">
        <f t="shared" si="93"/>
        <v>3.546138587528674E-3</v>
      </c>
      <c r="BH131" s="75">
        <f t="shared" si="93"/>
        <v>3.6022759834622785E-3</v>
      </c>
      <c r="BI131" s="290">
        <f t="shared" si="93"/>
        <v>3.2485029757981336E-3</v>
      </c>
      <c r="BJ131" s="75">
        <f t="shared" si="93"/>
        <v>3.2599695514616126E-3</v>
      </c>
      <c r="BK131" s="75">
        <f t="shared" si="93"/>
        <v>3.0953879951653176E-3</v>
      </c>
      <c r="BL131" s="75">
        <f t="shared" si="93"/>
        <v>3.2242836673450231E-3</v>
      </c>
      <c r="BM131" s="75">
        <f t="shared" si="93"/>
        <v>3.4426203829251759E-3</v>
      </c>
      <c r="BN131" s="75">
        <f t="shared" si="93"/>
        <v>3.3551244434707182E-3</v>
      </c>
      <c r="BO131" s="75">
        <f t="shared" ref="BO131:BV131" si="94">(BO17*4)/((BN84+BO84)/2)</f>
        <v>3.3182252501210985E-3</v>
      </c>
      <c r="BP131" s="290">
        <f t="shared" si="94"/>
        <v>3.4511063796479765E-3</v>
      </c>
      <c r="BQ131" s="75">
        <f t="shared" si="94"/>
        <v>3.2830544058138379E-3</v>
      </c>
      <c r="BR131" s="75">
        <f t="shared" si="94"/>
        <v>3.2811718462656615E-3</v>
      </c>
      <c r="BS131" s="75">
        <f t="shared" si="94"/>
        <v>3.5450342765108397E-3</v>
      </c>
      <c r="BT131" s="75">
        <f t="shared" si="94"/>
        <v>3.4846872787073291E-3</v>
      </c>
      <c r="BU131" s="75">
        <f t="shared" si="94"/>
        <v>3.5140461064809944E-3</v>
      </c>
      <c r="BV131" s="75">
        <f t="shared" si="94"/>
        <v>3.3387513046770779E-3</v>
      </c>
      <c r="BW131" s="291">
        <v>3.4499999999999999E-3</v>
      </c>
      <c r="BX131" s="291">
        <v>3.4499999999999999E-3</v>
      </c>
      <c r="BY131" s="291">
        <v>3.4099999999999998E-3</v>
      </c>
      <c r="BZ131" s="75">
        <v>3.3500000000000001E-3</v>
      </c>
      <c r="CA131" s="75">
        <v>3.31E-3</v>
      </c>
      <c r="CB131" s="75">
        <v>3.3999999999999998E-3</v>
      </c>
      <c r="CC131" s="75">
        <v>3.5400000000000002E-3</v>
      </c>
      <c r="CD131" s="75">
        <v>3.6440405508592999E-3</v>
      </c>
      <c r="CE131" s="75">
        <v>3.7724704674252053E-3</v>
      </c>
      <c r="CF131" s="75">
        <v>3.49262362818171E-3</v>
      </c>
      <c r="CG131" s="75">
        <v>3.402400058246107E-3</v>
      </c>
      <c r="CH131" s="75">
        <v>3.3191752044340701E-3</v>
      </c>
      <c r="CI131" s="75">
        <v>3.1428570536317039E-3</v>
      </c>
      <c r="CJ131" s="75">
        <v>3.05706317324397E-3</v>
      </c>
      <c r="CK131" s="75">
        <v>3.008722693271296E-3</v>
      </c>
      <c r="CL131" s="75">
        <v>2.9186890076253668E-3</v>
      </c>
      <c r="CM131" s="75">
        <v>2.8745011722527518E-3</v>
      </c>
      <c r="CN131" s="75">
        <v>2.7910660523658578E-3</v>
      </c>
      <c r="CO131" s="75">
        <v>2.7271678679602128E-3</v>
      </c>
      <c r="CP131" s="75">
        <v>2.6366241547430007E-3</v>
      </c>
      <c r="CQ131" s="75">
        <v>2.6088674430518079E-3</v>
      </c>
      <c r="CR131" s="291">
        <v>2.5889971392801131E-3</v>
      </c>
      <c r="CS131" s="291">
        <v>2.6366356666666655E-3</v>
      </c>
      <c r="CT131" s="291">
        <v>2.5430576391075313E-3</v>
      </c>
      <c r="CU131" s="346">
        <v>2.5222648837209304E-3</v>
      </c>
    </row>
    <row r="132" spans="1:101" x14ac:dyDescent="0.2">
      <c r="A132" s="6"/>
      <c r="C132" s="14"/>
      <c r="D132" s="79"/>
      <c r="E132" s="79"/>
      <c r="F132" s="79"/>
      <c r="G132" s="79"/>
      <c r="H132" s="79"/>
      <c r="I132" s="79"/>
      <c r="J132" s="79"/>
      <c r="K132" s="79"/>
      <c r="L132" s="79"/>
      <c r="M132" s="79"/>
      <c r="N132" s="79"/>
      <c r="O132" s="79"/>
      <c r="P132" s="79"/>
      <c r="Q132" s="79"/>
      <c r="R132" s="79"/>
      <c r="S132" s="79"/>
      <c r="T132" s="79"/>
      <c r="U132" s="79"/>
      <c r="V132" s="79"/>
      <c r="W132" s="79"/>
      <c r="X132" s="79"/>
      <c r="Y132" s="79"/>
      <c r="Z132" s="79"/>
      <c r="AA132" s="79"/>
      <c r="AB132" s="79"/>
      <c r="AC132" s="292"/>
      <c r="AD132" s="292"/>
      <c r="AE132" s="292"/>
      <c r="AF132" s="292"/>
      <c r="AG132" s="292"/>
      <c r="AH132" s="292"/>
      <c r="AI132" s="292"/>
      <c r="AJ132" s="79"/>
      <c r="AK132" s="292"/>
      <c r="AL132" s="79"/>
      <c r="AM132" s="292"/>
      <c r="AN132" s="79"/>
      <c r="AO132" s="79"/>
      <c r="AP132" s="79"/>
      <c r="AQ132" s="79"/>
      <c r="AR132" s="79"/>
      <c r="AS132" s="293"/>
      <c r="AT132" s="292"/>
      <c r="AU132" s="292"/>
      <c r="AV132" s="79"/>
      <c r="AW132" s="79"/>
      <c r="AX132" s="79"/>
      <c r="AY132" s="79"/>
      <c r="AZ132" s="79"/>
      <c r="BA132" s="79"/>
      <c r="BB132" s="79"/>
      <c r="BC132" s="79"/>
      <c r="BD132" s="79"/>
      <c r="BE132" s="79"/>
      <c r="BF132" s="79"/>
      <c r="BG132" s="79"/>
      <c r="BH132" s="79"/>
      <c r="BI132" s="292"/>
      <c r="BJ132" s="79"/>
      <c r="BK132" s="79"/>
      <c r="BL132" s="79"/>
      <c r="BM132" s="79"/>
      <c r="BN132" s="79"/>
      <c r="BO132" s="79"/>
      <c r="BP132" s="293"/>
      <c r="BQ132" s="79"/>
      <c r="BR132" s="79"/>
      <c r="BS132" s="79"/>
      <c r="BT132" s="79"/>
      <c r="BU132" s="79"/>
      <c r="BV132" s="79"/>
      <c r="BW132" s="292"/>
      <c r="BX132" s="292"/>
      <c r="BY132" s="292"/>
      <c r="BZ132" s="79"/>
      <c r="CA132" s="79"/>
      <c r="CB132" s="79"/>
      <c r="CC132" s="79"/>
      <c r="CD132" s="79"/>
      <c r="CE132" s="79"/>
      <c r="CF132" s="79"/>
      <c r="CG132" s="79"/>
      <c r="CH132" s="79"/>
      <c r="CI132" s="79"/>
      <c r="CJ132" s="79"/>
      <c r="CK132" s="79"/>
      <c r="CL132" s="79"/>
      <c r="CM132" s="79"/>
      <c r="CN132" s="79"/>
      <c r="CO132" s="79"/>
      <c r="CP132" s="79"/>
      <c r="CQ132" s="79"/>
      <c r="CR132" s="292"/>
      <c r="CS132" s="292"/>
      <c r="CT132" s="292"/>
      <c r="CU132" s="351"/>
    </row>
    <row r="133" spans="1:101" x14ac:dyDescent="0.2">
      <c r="A133" s="135" t="s">
        <v>124</v>
      </c>
      <c r="B133" s="25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5"/>
      <c r="AD133" s="15"/>
      <c r="AE133" s="15"/>
      <c r="AF133" s="15"/>
      <c r="AG133" s="15"/>
      <c r="AH133" s="15"/>
      <c r="AI133" s="15"/>
      <c r="AJ133" s="14"/>
      <c r="AK133" s="4"/>
      <c r="AL133" s="14"/>
      <c r="AM133" s="15"/>
      <c r="AN133" s="14"/>
      <c r="AO133" s="14"/>
      <c r="AP133" s="14"/>
      <c r="AQ133" s="14"/>
      <c r="AR133" s="14"/>
      <c r="AS133" s="4"/>
      <c r="AT133" s="15"/>
      <c r="AU133" s="15"/>
      <c r="AV133" s="14"/>
      <c r="AW133" s="14"/>
      <c r="AX133" s="14"/>
      <c r="AY133" s="14"/>
      <c r="AZ133" s="14"/>
      <c r="BA133" s="14"/>
      <c r="BB133" s="14"/>
      <c r="BC133" s="14"/>
      <c r="BD133" s="14"/>
      <c r="BE133" s="14"/>
      <c r="BF133" s="14"/>
      <c r="BG133" s="14"/>
      <c r="BH133" s="14"/>
      <c r="BI133" s="15"/>
      <c r="BJ133" s="14"/>
      <c r="BK133" s="14"/>
      <c r="BL133" s="14"/>
      <c r="BM133" s="14"/>
      <c r="BN133" s="14"/>
      <c r="BO133" s="14"/>
      <c r="BP133" s="4"/>
      <c r="BQ133" s="14"/>
      <c r="BR133" s="4"/>
      <c r="BS133" s="14"/>
      <c r="BT133" s="14"/>
      <c r="BU133" s="14"/>
      <c r="BV133" s="14"/>
      <c r="BW133" s="15"/>
      <c r="BX133" s="15"/>
      <c r="BY133" s="15"/>
      <c r="BZ133" s="14"/>
      <c r="CA133" s="14"/>
      <c r="CB133" s="14"/>
      <c r="CC133" s="14"/>
      <c r="CD133" s="14"/>
      <c r="CE133" s="14"/>
      <c r="CF133" s="14"/>
      <c r="CG133" s="14"/>
      <c r="CH133" s="14"/>
      <c r="CI133" s="14"/>
      <c r="CJ133" s="14"/>
      <c r="CK133" s="14"/>
      <c r="CL133" s="14"/>
      <c r="CM133" s="14"/>
      <c r="CN133" s="14"/>
      <c r="CO133" s="14"/>
      <c r="CP133" s="14"/>
      <c r="CQ133" s="14"/>
      <c r="CR133" s="15"/>
      <c r="CS133" s="15"/>
      <c r="CT133" s="15"/>
      <c r="CU133" s="17"/>
      <c r="CV133" s="353"/>
    </row>
    <row r="134" spans="1:101" x14ac:dyDescent="0.2">
      <c r="A134" s="23" t="s">
        <v>117</v>
      </c>
      <c r="B134" s="231"/>
      <c r="C134" s="24">
        <v>58</v>
      </c>
      <c r="D134" s="24">
        <v>61</v>
      </c>
      <c r="E134" s="24">
        <v>70</v>
      </c>
      <c r="F134" s="24">
        <v>65</v>
      </c>
      <c r="G134" s="24">
        <v>57</v>
      </c>
      <c r="H134" s="24">
        <v>58</v>
      </c>
      <c r="I134" s="24">
        <v>58</v>
      </c>
      <c r="J134" s="24">
        <v>53</v>
      </c>
      <c r="K134" s="24">
        <v>53</v>
      </c>
      <c r="L134" s="24">
        <v>52</v>
      </c>
      <c r="M134" s="24">
        <v>54</v>
      </c>
      <c r="N134" s="24">
        <v>61</v>
      </c>
      <c r="O134" s="24">
        <v>75</v>
      </c>
      <c r="P134" s="24">
        <v>74</v>
      </c>
      <c r="Q134" s="24">
        <v>72</v>
      </c>
      <c r="R134" s="24">
        <v>73</v>
      </c>
      <c r="S134" s="24">
        <v>77</v>
      </c>
      <c r="T134" s="24">
        <v>93</v>
      </c>
      <c r="U134" s="24">
        <v>96</v>
      </c>
      <c r="V134" s="24">
        <v>94</v>
      </c>
      <c r="W134" s="24">
        <v>101</v>
      </c>
      <c r="X134" s="24">
        <v>130</v>
      </c>
      <c r="Y134" s="24">
        <v>143</v>
      </c>
      <c r="Z134" s="24">
        <v>157</v>
      </c>
      <c r="AA134" s="24">
        <v>161</v>
      </c>
      <c r="AB134" s="24">
        <v>173</v>
      </c>
      <c r="AC134" s="25">
        <v>184</v>
      </c>
      <c r="AD134" s="25">
        <v>210</v>
      </c>
      <c r="AE134" s="25">
        <v>207</v>
      </c>
      <c r="AF134" s="25">
        <v>193</v>
      </c>
      <c r="AG134" s="25">
        <v>191</v>
      </c>
      <c r="AH134" s="25">
        <v>192</v>
      </c>
      <c r="AI134" s="25">
        <v>179</v>
      </c>
      <c r="AJ134" s="24">
        <v>178</v>
      </c>
      <c r="AK134" s="232">
        <v>184</v>
      </c>
      <c r="AL134" s="24">
        <v>194</v>
      </c>
      <c r="AM134" s="25">
        <v>215</v>
      </c>
      <c r="AN134" s="24">
        <v>228</v>
      </c>
      <c r="AO134" s="24">
        <v>243</v>
      </c>
      <c r="AP134" s="24">
        <v>244</v>
      </c>
      <c r="AQ134" s="24">
        <v>249</v>
      </c>
      <c r="AR134" s="24">
        <v>259</v>
      </c>
      <c r="AS134" s="232">
        <v>266</v>
      </c>
      <c r="AT134" s="25">
        <v>260</v>
      </c>
      <c r="AU134" s="25">
        <v>265</v>
      </c>
      <c r="AV134" s="24">
        <v>269</v>
      </c>
      <c r="AW134" s="24">
        <v>281</v>
      </c>
      <c r="AX134" s="24">
        <v>262</v>
      </c>
      <c r="AY134" s="24">
        <v>276</v>
      </c>
      <c r="AZ134" s="24">
        <v>265</v>
      </c>
      <c r="BA134" s="24">
        <v>266</v>
      </c>
      <c r="BB134" s="24">
        <v>264</v>
      </c>
      <c r="BC134" s="24">
        <v>282</v>
      </c>
      <c r="BD134" s="24">
        <v>281</v>
      </c>
      <c r="BE134" s="24">
        <v>290</v>
      </c>
      <c r="BF134" s="24">
        <v>296</v>
      </c>
      <c r="BG134" s="24">
        <v>320</v>
      </c>
      <c r="BH134" s="24">
        <v>324</v>
      </c>
      <c r="BI134" s="25">
        <v>340</v>
      </c>
      <c r="BJ134" s="24">
        <v>334</v>
      </c>
      <c r="BK134" s="24">
        <v>330</v>
      </c>
      <c r="BL134" s="24">
        <v>332</v>
      </c>
      <c r="BM134" s="24">
        <v>355</v>
      </c>
      <c r="BN134" s="24">
        <v>365</v>
      </c>
      <c r="BO134" s="24">
        <v>374</v>
      </c>
      <c r="BP134" s="232">
        <v>379</v>
      </c>
      <c r="BQ134" s="24">
        <v>405</v>
      </c>
      <c r="BR134" s="232">
        <v>390</v>
      </c>
      <c r="BS134" s="24">
        <v>395</v>
      </c>
      <c r="BT134" s="24">
        <v>407</v>
      </c>
      <c r="BU134" s="24">
        <v>416</v>
      </c>
      <c r="BV134" s="170">
        <v>422</v>
      </c>
      <c r="BW134" s="25">
        <v>419</v>
      </c>
      <c r="BX134" s="25">
        <v>417</v>
      </c>
      <c r="BY134" s="25">
        <v>443</v>
      </c>
      <c r="BZ134" s="24">
        <v>445</v>
      </c>
      <c r="CA134" s="24">
        <v>460</v>
      </c>
      <c r="CB134" s="24">
        <v>472</v>
      </c>
      <c r="CC134" s="24">
        <v>502</v>
      </c>
      <c r="CD134" s="24">
        <v>510</v>
      </c>
      <c r="CE134" s="24">
        <v>526</v>
      </c>
      <c r="CF134" s="24">
        <v>564</v>
      </c>
      <c r="CG134" s="24">
        <v>598</v>
      </c>
      <c r="CH134" s="24">
        <v>603</v>
      </c>
      <c r="CI134" s="24">
        <v>598</v>
      </c>
      <c r="CJ134" s="24">
        <v>625</v>
      </c>
      <c r="CK134" s="24">
        <v>649</v>
      </c>
      <c r="CL134" s="24">
        <v>635</v>
      </c>
      <c r="CM134" s="24">
        <v>648</v>
      </c>
      <c r="CN134" s="24">
        <v>655</v>
      </c>
      <c r="CO134" s="24">
        <v>671</v>
      </c>
      <c r="CP134" s="24">
        <v>661</v>
      </c>
      <c r="CQ134" s="24">
        <v>662</v>
      </c>
      <c r="CR134" s="25">
        <v>677</v>
      </c>
      <c r="CS134" s="25">
        <v>691</v>
      </c>
      <c r="CT134" s="25">
        <v>679</v>
      </c>
      <c r="CU134" s="69">
        <v>674</v>
      </c>
    </row>
    <row r="135" spans="1:101" x14ac:dyDescent="0.2">
      <c r="A135" s="23" t="s">
        <v>118</v>
      </c>
      <c r="B135" s="231"/>
      <c r="C135" s="24">
        <v>57</v>
      </c>
      <c r="D135" s="24">
        <v>57</v>
      </c>
      <c r="E135" s="24">
        <v>78</v>
      </c>
      <c r="F135" s="24">
        <v>65</v>
      </c>
      <c r="G135" s="24">
        <v>65</v>
      </c>
      <c r="H135" s="24">
        <v>62</v>
      </c>
      <c r="I135" s="24">
        <v>61</v>
      </c>
      <c r="J135" s="24">
        <v>58</v>
      </c>
      <c r="K135" s="24">
        <v>53</v>
      </c>
      <c r="L135" s="24">
        <v>51</v>
      </c>
      <c r="M135" s="24">
        <v>56</v>
      </c>
      <c r="N135" s="24">
        <v>61</v>
      </c>
      <c r="O135" s="24">
        <v>69</v>
      </c>
      <c r="P135" s="24">
        <v>73</v>
      </c>
      <c r="Q135" s="24">
        <v>74</v>
      </c>
      <c r="R135" s="24">
        <v>77</v>
      </c>
      <c r="S135" s="24">
        <v>82</v>
      </c>
      <c r="T135" s="24">
        <v>92</v>
      </c>
      <c r="U135" s="24">
        <v>97</v>
      </c>
      <c r="V135" s="24">
        <v>103</v>
      </c>
      <c r="W135" s="24">
        <v>119</v>
      </c>
      <c r="X135" s="24">
        <v>123</v>
      </c>
      <c r="Y135" s="24">
        <v>145</v>
      </c>
      <c r="Z135" s="24">
        <v>157</v>
      </c>
      <c r="AA135" s="24">
        <v>161</v>
      </c>
      <c r="AB135" s="24">
        <v>170</v>
      </c>
      <c r="AC135" s="25">
        <v>186</v>
      </c>
      <c r="AD135" s="25">
        <v>202</v>
      </c>
      <c r="AE135" s="25">
        <v>202</v>
      </c>
      <c r="AF135" s="25">
        <v>200</v>
      </c>
      <c r="AG135" s="25">
        <v>199</v>
      </c>
      <c r="AH135" s="25">
        <v>188</v>
      </c>
      <c r="AI135" s="25">
        <v>180</v>
      </c>
      <c r="AJ135" s="24">
        <v>177</v>
      </c>
      <c r="AK135" s="232">
        <v>186</v>
      </c>
      <c r="AL135" s="24">
        <v>184</v>
      </c>
      <c r="AM135" s="25">
        <v>205</v>
      </c>
      <c r="AN135" s="24">
        <v>222</v>
      </c>
      <c r="AO135" s="24">
        <v>236</v>
      </c>
      <c r="AP135" s="24">
        <v>244</v>
      </c>
      <c r="AQ135" s="24">
        <f t="shared" ref="AQ135:AW135" si="95">AVERAGE(AP134:AQ134)</f>
        <v>246.5</v>
      </c>
      <c r="AR135" s="24">
        <f t="shared" si="95"/>
        <v>254</v>
      </c>
      <c r="AS135" s="232">
        <f t="shared" si="95"/>
        <v>262.5</v>
      </c>
      <c r="AT135" s="25">
        <f t="shared" si="95"/>
        <v>263</v>
      </c>
      <c r="AU135" s="25">
        <f t="shared" si="95"/>
        <v>262.5</v>
      </c>
      <c r="AV135" s="24">
        <f t="shared" si="95"/>
        <v>267</v>
      </c>
      <c r="AW135" s="24">
        <f t="shared" si="95"/>
        <v>275</v>
      </c>
      <c r="AX135" s="24">
        <f>+(AW134+271)/2</f>
        <v>276</v>
      </c>
      <c r="AY135" s="24">
        <f t="shared" ref="AY135:BR135" si="96">AVERAGE(AX134:AY134)</f>
        <v>269</v>
      </c>
      <c r="AZ135" s="24">
        <f t="shared" si="96"/>
        <v>270.5</v>
      </c>
      <c r="BA135" s="24">
        <f t="shared" si="96"/>
        <v>265.5</v>
      </c>
      <c r="BB135" s="24">
        <f t="shared" si="96"/>
        <v>265</v>
      </c>
      <c r="BC135" s="24">
        <f t="shared" si="96"/>
        <v>273</v>
      </c>
      <c r="BD135" s="24">
        <f t="shared" si="96"/>
        <v>281.5</v>
      </c>
      <c r="BE135" s="24">
        <f t="shared" si="96"/>
        <v>285.5</v>
      </c>
      <c r="BF135" s="24">
        <f t="shared" si="96"/>
        <v>293</v>
      </c>
      <c r="BG135" s="24">
        <f t="shared" si="96"/>
        <v>308</v>
      </c>
      <c r="BH135" s="24">
        <f t="shared" si="96"/>
        <v>322</v>
      </c>
      <c r="BI135" s="232">
        <f t="shared" si="96"/>
        <v>332</v>
      </c>
      <c r="BJ135" s="24">
        <f t="shared" si="96"/>
        <v>337</v>
      </c>
      <c r="BK135" s="24">
        <f t="shared" si="96"/>
        <v>332</v>
      </c>
      <c r="BL135" s="24">
        <f t="shared" si="96"/>
        <v>331</v>
      </c>
      <c r="BM135" s="24">
        <f t="shared" si="96"/>
        <v>343.5</v>
      </c>
      <c r="BN135" s="24">
        <f t="shared" si="96"/>
        <v>360</v>
      </c>
      <c r="BO135" s="24">
        <f t="shared" si="96"/>
        <v>369.5</v>
      </c>
      <c r="BP135" s="232">
        <f t="shared" si="96"/>
        <v>376.5</v>
      </c>
      <c r="BQ135" s="24">
        <f t="shared" si="96"/>
        <v>392</v>
      </c>
      <c r="BR135" s="24">
        <f t="shared" si="96"/>
        <v>397.5</v>
      </c>
      <c r="BS135" s="24">
        <v>393</v>
      </c>
      <c r="BT135" s="24">
        <v>401</v>
      </c>
      <c r="BU135" s="24">
        <v>412</v>
      </c>
      <c r="BV135" s="24">
        <v>419</v>
      </c>
      <c r="BW135" s="25">
        <v>421</v>
      </c>
      <c r="BX135" s="25">
        <v>418</v>
      </c>
      <c r="BY135" s="25">
        <v>430</v>
      </c>
      <c r="BZ135" s="24">
        <v>444</v>
      </c>
      <c r="CA135" s="24">
        <v>452</v>
      </c>
      <c r="CB135" s="24">
        <v>466</v>
      </c>
      <c r="CC135" s="24">
        <v>487</v>
      </c>
      <c r="CD135" s="24">
        <v>506</v>
      </c>
      <c r="CE135" s="24">
        <v>518</v>
      </c>
      <c r="CF135" s="24">
        <v>545</v>
      </c>
      <c r="CG135" s="24">
        <v>581</v>
      </c>
      <c r="CH135" s="24">
        <v>601</v>
      </c>
      <c r="CI135" s="24">
        <v>601</v>
      </c>
      <c r="CJ135" s="24">
        <v>612</v>
      </c>
      <c r="CK135" s="24">
        <v>637</v>
      </c>
      <c r="CL135" s="24">
        <v>642</v>
      </c>
      <c r="CM135" s="24">
        <v>642</v>
      </c>
      <c r="CN135" s="24">
        <v>652</v>
      </c>
      <c r="CO135" s="24">
        <v>663</v>
      </c>
      <c r="CP135" s="24">
        <v>666</v>
      </c>
      <c r="CQ135" s="24">
        <v>661</v>
      </c>
      <c r="CR135" s="25">
        <v>670</v>
      </c>
      <c r="CS135" s="25">
        <v>684</v>
      </c>
      <c r="CT135" s="25">
        <v>685</v>
      </c>
      <c r="CU135" s="69">
        <v>677</v>
      </c>
      <c r="CW135" s="353"/>
    </row>
    <row r="136" spans="1:101" x14ac:dyDescent="0.2">
      <c r="A136" s="23" t="s">
        <v>85</v>
      </c>
      <c r="B136" s="231"/>
      <c r="C136" s="54">
        <f t="shared" ref="C136:BN136" si="97">+C31*4/C135</f>
        <v>1.5157894736842106</v>
      </c>
      <c r="D136" s="54">
        <f t="shared" si="97"/>
        <v>1.1578947368421053</v>
      </c>
      <c r="E136" s="54">
        <f t="shared" si="97"/>
        <v>1.1076923076923075</v>
      </c>
      <c r="F136" s="54">
        <f t="shared" si="97"/>
        <v>2.1661538461538465</v>
      </c>
      <c r="G136" s="54">
        <f t="shared" si="97"/>
        <v>1.8276923076923077</v>
      </c>
      <c r="H136" s="54">
        <f t="shared" si="97"/>
        <v>1.5870967741935484</v>
      </c>
      <c r="I136" s="54">
        <f t="shared" si="97"/>
        <v>1.980327868852459</v>
      </c>
      <c r="J136" s="54">
        <f t="shared" si="97"/>
        <v>2.6275862068965519</v>
      </c>
      <c r="K136" s="54">
        <f t="shared" si="97"/>
        <v>2.1832452830188678</v>
      </c>
      <c r="L136" s="54">
        <f t="shared" si="97"/>
        <v>2.6269803921568626</v>
      </c>
      <c r="M136" s="54">
        <f t="shared" si="97"/>
        <v>2.9078571428571425</v>
      </c>
      <c r="N136" s="54">
        <f t="shared" si="97"/>
        <v>3.0432786885245902</v>
      </c>
      <c r="O136" s="54">
        <f t="shared" si="97"/>
        <v>3.7918840579710142</v>
      </c>
      <c r="P136" s="54">
        <f t="shared" si="97"/>
        <v>2.7039999999999997</v>
      </c>
      <c r="Q136" s="54">
        <f t="shared" si="97"/>
        <v>2.179945945945946</v>
      </c>
      <c r="R136" s="54">
        <f t="shared" si="97"/>
        <v>2.8430649350649349</v>
      </c>
      <c r="S136" s="54">
        <f t="shared" si="97"/>
        <v>2.9658536585365853</v>
      </c>
      <c r="T136" s="54">
        <f t="shared" si="97"/>
        <v>2.8642608695652174</v>
      </c>
      <c r="U136" s="54">
        <f t="shared" si="97"/>
        <v>3.0469278350515467</v>
      </c>
      <c r="V136" s="54">
        <f t="shared" si="97"/>
        <v>3.2344854368932041</v>
      </c>
      <c r="W136" s="54">
        <f t="shared" si="97"/>
        <v>4.1495798319327726</v>
      </c>
      <c r="X136" s="54">
        <f t="shared" si="97"/>
        <v>4.0715447154471542</v>
      </c>
      <c r="Y136" s="54">
        <f t="shared" si="97"/>
        <v>2.3877241379310341</v>
      </c>
      <c r="Z136" s="54">
        <f t="shared" si="97"/>
        <v>2.9971464968152866</v>
      </c>
      <c r="AA136" s="54">
        <f t="shared" si="97"/>
        <v>3.3621118012422357</v>
      </c>
      <c r="AB136" s="54">
        <f t="shared" si="97"/>
        <v>3.2594117647058818</v>
      </c>
      <c r="AC136" s="269">
        <f t="shared" si="97"/>
        <v>2.8066656989247312</v>
      </c>
      <c r="AD136" s="269">
        <f t="shared" si="97"/>
        <v>2.9725475247524753</v>
      </c>
      <c r="AE136" s="269">
        <f t="shared" si="97"/>
        <v>2.6999999801980197</v>
      </c>
      <c r="AF136" s="269">
        <f t="shared" si="97"/>
        <v>2.5940524000000007</v>
      </c>
      <c r="AG136" s="269">
        <f t="shared" si="97"/>
        <v>2.3425488884422108</v>
      </c>
      <c r="AH136" s="269">
        <f t="shared" si="97"/>
        <v>2.6279300170212765</v>
      </c>
      <c r="AI136" s="269">
        <f t="shared" si="97"/>
        <v>2.3929423777777776</v>
      </c>
      <c r="AJ136" s="54">
        <f t="shared" si="97"/>
        <v>2.9734948185310737</v>
      </c>
      <c r="AK136" s="269">
        <f t="shared" si="97"/>
        <v>2.7218628627956991</v>
      </c>
      <c r="AL136" s="54">
        <f t="shared" si="97"/>
        <v>3.1099320247826086</v>
      </c>
      <c r="AM136" s="269">
        <f t="shared" si="97"/>
        <v>2.975609756097561</v>
      </c>
      <c r="AN136" s="54">
        <f t="shared" si="97"/>
        <v>2.8623824504504505</v>
      </c>
      <c r="AO136" s="54">
        <f t="shared" si="97"/>
        <v>2.3093377372881356</v>
      </c>
      <c r="AP136" s="54">
        <f t="shared" si="97"/>
        <v>2.7072667947540983</v>
      </c>
      <c r="AQ136" s="54">
        <f t="shared" si="97"/>
        <v>2.9218823529411759</v>
      </c>
      <c r="AR136" s="54">
        <f t="shared" si="97"/>
        <v>2.6584409448818898</v>
      </c>
      <c r="AS136" s="284">
        <f t="shared" si="97"/>
        <v>2.7274360376380953</v>
      </c>
      <c r="AT136" s="269">
        <f t="shared" si="97"/>
        <v>2.3471973993916349</v>
      </c>
      <c r="AU136" s="269">
        <f t="shared" si="97"/>
        <v>2.4547047619047619</v>
      </c>
      <c r="AV136" s="54">
        <f t="shared" si="97"/>
        <v>2.0756554307116106</v>
      </c>
      <c r="AW136" s="54">
        <f t="shared" si="97"/>
        <v>1.7805836142545455</v>
      </c>
      <c r="AX136" s="54">
        <f t="shared" si="97"/>
        <v>1.8636368328985506</v>
      </c>
      <c r="AY136" s="54">
        <f t="shared" si="97"/>
        <v>2.1575167286245351</v>
      </c>
      <c r="AZ136" s="54">
        <f t="shared" si="97"/>
        <v>1.9597042513863216</v>
      </c>
      <c r="BA136" s="54">
        <f t="shared" si="97"/>
        <v>2.1817497551789078</v>
      </c>
      <c r="BB136" s="54">
        <f t="shared" si="97"/>
        <v>2.3822177660377362</v>
      </c>
      <c r="BC136" s="54">
        <f t="shared" si="97"/>
        <v>2.4643982797069599</v>
      </c>
      <c r="BD136" s="54">
        <f t="shared" si="97"/>
        <v>2.2775801861456482</v>
      </c>
      <c r="BE136" s="54">
        <f t="shared" si="97"/>
        <v>2.2645694935201401</v>
      </c>
      <c r="BF136" s="54">
        <f t="shared" si="97"/>
        <v>2.5657216369965874</v>
      </c>
      <c r="BG136" s="54">
        <f t="shared" si="97"/>
        <v>2.8507792207792209</v>
      </c>
      <c r="BH136" s="54">
        <f t="shared" si="97"/>
        <v>2.8045465838509318</v>
      </c>
      <c r="BI136" s="284">
        <f t="shared" si="97"/>
        <v>2.4255180722891563</v>
      </c>
      <c r="BJ136" s="54">
        <f t="shared" si="97"/>
        <v>2.9727715133531158</v>
      </c>
      <c r="BK136" s="54">
        <f t="shared" si="97"/>
        <v>2.700070111686748</v>
      </c>
      <c r="BL136" s="54">
        <f t="shared" si="97"/>
        <v>2.6662536352870112</v>
      </c>
      <c r="BM136" s="54">
        <f t="shared" si="97"/>
        <v>2.5465848699854443</v>
      </c>
      <c r="BN136" s="54">
        <f t="shared" si="97"/>
        <v>2.724429042000001</v>
      </c>
      <c r="BO136" s="54">
        <f t="shared" ref="BO136:CP136" si="98">+BO31*4/BO135</f>
        <v>2.6469869990798389</v>
      </c>
      <c r="BP136" s="284">
        <f t="shared" si="98"/>
        <v>2.4814063164940254</v>
      </c>
      <c r="BQ136" s="54">
        <f t="shared" si="98"/>
        <v>2.3130327165306119</v>
      </c>
      <c r="BR136" s="54">
        <f t="shared" si="98"/>
        <v>2.7249540926792464</v>
      </c>
      <c r="BS136" s="54">
        <f t="shared" si="98"/>
        <v>2.7614514384732836</v>
      </c>
      <c r="BT136" s="54">
        <f t="shared" si="98"/>
        <v>2.4307518408977558</v>
      </c>
      <c r="BU136" s="54">
        <f t="shared" si="98"/>
        <v>2.5931086174757279</v>
      </c>
      <c r="BV136" s="54">
        <f t="shared" si="98"/>
        <v>2.548086802004776</v>
      </c>
      <c r="BW136" s="269">
        <f t="shared" si="98"/>
        <v>2.5430146168425289</v>
      </c>
      <c r="BX136" s="269">
        <f t="shared" si="98"/>
        <v>2.7186509447060034</v>
      </c>
      <c r="BY136" s="269">
        <f t="shared" si="98"/>
        <v>2.9118994512890715</v>
      </c>
      <c r="BZ136" s="54">
        <f t="shared" si="98"/>
        <v>2.960982215062804</v>
      </c>
      <c r="CA136" s="54">
        <f t="shared" si="98"/>
        <v>4.793405387133495</v>
      </c>
      <c r="CB136" s="54">
        <f t="shared" si="98"/>
        <v>4.5119635468930852</v>
      </c>
      <c r="CC136" s="54">
        <f t="shared" si="98"/>
        <v>4.726078688573951</v>
      </c>
      <c r="CD136" s="54">
        <f t="shared" si="98"/>
        <v>5.5816713594805396</v>
      </c>
      <c r="CE136" s="54">
        <f t="shared" si="98"/>
        <v>7.3880083401727585</v>
      </c>
      <c r="CF136" s="54">
        <f t="shared" si="98"/>
        <v>5.5307676007596349</v>
      </c>
      <c r="CG136" s="54">
        <f t="shared" si="98"/>
        <v>5.280097420815844</v>
      </c>
      <c r="CH136" s="54">
        <f t="shared" si="98"/>
        <v>5.4856216746089057</v>
      </c>
      <c r="CI136" s="54">
        <f t="shared" si="98"/>
        <v>5.1096299655907149</v>
      </c>
      <c r="CJ136" s="54">
        <f t="shared" si="98"/>
        <v>4.0376771550327115</v>
      </c>
      <c r="CK136" s="54">
        <f t="shared" si="98"/>
        <v>4.6486198913657768</v>
      </c>
      <c r="CL136" s="54">
        <f t="shared" si="98"/>
        <v>5.2771965705919008</v>
      </c>
      <c r="CM136" s="54">
        <f t="shared" si="98"/>
        <v>5.4083023783800659</v>
      </c>
      <c r="CN136" s="54">
        <f t="shared" si="98"/>
        <v>5.1103293219018502</v>
      </c>
      <c r="CO136" s="54">
        <f t="shared" si="98"/>
        <v>5.1510149400385083</v>
      </c>
      <c r="CP136" s="54">
        <f t="shared" si="98"/>
        <v>5.3001047439039057</v>
      </c>
      <c r="CQ136" s="54">
        <f>+CQ31*4/CQ135</f>
        <v>5.7536033138880516</v>
      </c>
      <c r="CR136" s="269">
        <f>+CR31*4/CR135</f>
        <v>5.5435826731492854</v>
      </c>
      <c r="CS136" s="269">
        <f>+CS31*4/CS135</f>
        <v>5.6066411004678383</v>
      </c>
      <c r="CT136" s="269">
        <f>+CT31*4/CT135</f>
        <v>6.2003802089927023</v>
      </c>
      <c r="CU136" s="344">
        <f>+CU31*4/CU135</f>
        <v>6.8042417606499415</v>
      </c>
    </row>
    <row r="137" spans="1:101" x14ac:dyDescent="0.2">
      <c r="A137" s="23" t="s">
        <v>86</v>
      </c>
      <c r="B137" s="231"/>
      <c r="C137" s="54">
        <f t="shared" ref="C137:BN137" si="99">C37*4/C135</f>
        <v>-1.5838105263157893</v>
      </c>
      <c r="D137" s="54">
        <f t="shared" si="99"/>
        <v>-1.3096842105263158</v>
      </c>
      <c r="E137" s="54">
        <f t="shared" si="99"/>
        <v>-1.0573846153846154</v>
      </c>
      <c r="F137" s="54">
        <f t="shared" si="99"/>
        <v>-1.4557538461538462</v>
      </c>
      <c r="G137" s="54">
        <f t="shared" si="99"/>
        <v>-1.6771076923076924</v>
      </c>
      <c r="H137" s="54">
        <f t="shared" si="99"/>
        <v>-1.5416774193548388</v>
      </c>
      <c r="I137" s="54">
        <f t="shared" si="99"/>
        <v>-1.4434754098360654</v>
      </c>
      <c r="J137" s="54">
        <f t="shared" si="99"/>
        <v>-1.5491034482758619</v>
      </c>
      <c r="K137" s="54">
        <f t="shared" si="99"/>
        <v>-1.7250566037735848</v>
      </c>
      <c r="L137" s="54">
        <f t="shared" si="99"/>
        <v>-1.6677647058823533</v>
      </c>
      <c r="M137" s="54">
        <f t="shared" si="99"/>
        <v>-1.4852857142857141</v>
      </c>
      <c r="N137" s="54">
        <f t="shared" si="99"/>
        <v>-1.6886557377049183</v>
      </c>
      <c r="O137" s="54">
        <f t="shared" si="99"/>
        <v>-1.6043478260869564</v>
      </c>
      <c r="P137" s="54">
        <f t="shared" si="99"/>
        <v>-1.3797808219178083</v>
      </c>
      <c r="Q137" s="54">
        <f t="shared" si="99"/>
        <v>-1.2762162162162163</v>
      </c>
      <c r="R137" s="54">
        <f t="shared" si="99"/>
        <v>-1.6733506493506496</v>
      </c>
      <c r="S137" s="54">
        <f t="shared" si="99"/>
        <v>-1.6212195121951218</v>
      </c>
      <c r="T137" s="54">
        <f t="shared" si="99"/>
        <v>-1.506</v>
      </c>
      <c r="U137" s="54">
        <f t="shared" si="99"/>
        <v>-1.2630927835051544</v>
      </c>
      <c r="V137" s="54">
        <f t="shared" si="99"/>
        <v>-1.504116504854369</v>
      </c>
      <c r="W137" s="54">
        <f t="shared" si="99"/>
        <v>-1.5977478991596639</v>
      </c>
      <c r="X137" s="54">
        <f t="shared" si="99"/>
        <v>-2.0527479674796747</v>
      </c>
      <c r="Y137" s="54">
        <f t="shared" si="99"/>
        <v>-1.1073379310344829</v>
      </c>
      <c r="Z137" s="54">
        <f t="shared" si="99"/>
        <v>-1.4822929936305731</v>
      </c>
      <c r="AA137" s="54">
        <f t="shared" si="99"/>
        <v>-1.4467500084472051</v>
      </c>
      <c r="AB137" s="54">
        <f t="shared" si="99"/>
        <v>-1.5256266108235292</v>
      </c>
      <c r="AC137" s="54">
        <f t="shared" si="99"/>
        <v>-1.1767495720645162</v>
      </c>
      <c r="AD137" s="54">
        <f t="shared" si="99"/>
        <v>-1.3630073295049505</v>
      </c>
      <c r="AE137" s="54">
        <f t="shared" si="99"/>
        <v>-1.3373657386138615</v>
      </c>
      <c r="AF137" s="54">
        <f t="shared" si="99"/>
        <v>-1.4078131091999999</v>
      </c>
      <c r="AG137" s="54">
        <f t="shared" si="99"/>
        <v>-1.1096953447236182</v>
      </c>
      <c r="AH137" s="54">
        <f t="shared" si="99"/>
        <v>-1.5633097205000002</v>
      </c>
      <c r="AI137" s="54">
        <f t="shared" si="99"/>
        <v>-1.2063562979073998</v>
      </c>
      <c r="AJ137" s="54">
        <f t="shared" si="99"/>
        <v>-1.3452096879661017</v>
      </c>
      <c r="AK137" s="54">
        <f t="shared" si="99"/>
        <v>-1.0736839718279569</v>
      </c>
      <c r="AL137" s="54">
        <f t="shared" si="99"/>
        <v>-1.4161883180434782</v>
      </c>
      <c r="AM137" s="54">
        <f t="shared" si="99"/>
        <v>-1.2373540325853658</v>
      </c>
      <c r="AN137" s="54">
        <f t="shared" si="99"/>
        <v>-1.3753618830630632</v>
      </c>
      <c r="AO137" s="54">
        <f t="shared" si="99"/>
        <v>-1.0609815920187626</v>
      </c>
      <c r="AP137" s="54">
        <f t="shared" si="99"/>
        <v>-1.3148902060655738</v>
      </c>
      <c r="AQ137" s="54">
        <f t="shared" si="99"/>
        <v>-1.1990106609330629</v>
      </c>
      <c r="AR137" s="54">
        <f t="shared" si="99"/>
        <v>-1.486847991968504</v>
      </c>
      <c r="AS137" s="54">
        <f t="shared" si="99"/>
        <v>-1.1609234777904762</v>
      </c>
      <c r="AT137" s="54">
        <f t="shared" si="99"/>
        <v>-1.3996429536121673</v>
      </c>
      <c r="AU137" s="54">
        <f t="shared" si="99"/>
        <v>-1.354223558095238</v>
      </c>
      <c r="AV137" s="54">
        <f t="shared" si="99"/>
        <v>-1.3473618504012881</v>
      </c>
      <c r="AW137" s="54">
        <f t="shared" si="99"/>
        <v>-1.1606703271065455</v>
      </c>
      <c r="AX137" s="54">
        <f t="shared" si="99"/>
        <v>-1.3199784114039854</v>
      </c>
      <c r="AY137" s="54">
        <f t="shared" si="99"/>
        <v>-1.3616356877323419</v>
      </c>
      <c r="AZ137" s="54">
        <f t="shared" si="99"/>
        <v>-1.4286136783733827</v>
      </c>
      <c r="BA137" s="54">
        <f t="shared" si="99"/>
        <v>-1.0871563088512242</v>
      </c>
      <c r="BB137" s="54">
        <f t="shared" si="99"/>
        <v>-1.3977358490566039</v>
      </c>
      <c r="BC137" s="54">
        <f t="shared" si="99"/>
        <v>-1.35003663003663</v>
      </c>
      <c r="BD137" s="54">
        <f t="shared" si="99"/>
        <v>-1.3253285968028419</v>
      </c>
      <c r="BE137" s="54">
        <f t="shared" si="99"/>
        <v>-1.2687915936952714</v>
      </c>
      <c r="BF137" s="54">
        <f t="shared" si="99"/>
        <v>-1.4576109215017063</v>
      </c>
      <c r="BG137" s="54">
        <f t="shared" si="99"/>
        <v>-1.3553246753246753</v>
      </c>
      <c r="BH137" s="54">
        <f t="shared" si="99"/>
        <v>-1.2901863354037266</v>
      </c>
      <c r="BI137" s="54">
        <f t="shared" si="99"/>
        <v>-1.1191566265060242</v>
      </c>
      <c r="BJ137" s="54">
        <f t="shared" si="99"/>
        <v>-1.3044510385756678</v>
      </c>
      <c r="BK137" s="54">
        <f t="shared" si="99"/>
        <v>-1.3180722891566266</v>
      </c>
      <c r="BL137" s="54">
        <f t="shared" si="99"/>
        <v>-1.3206042296072509</v>
      </c>
      <c r="BM137" s="54">
        <f t="shared" si="99"/>
        <v>-1.1218631732168847</v>
      </c>
      <c r="BN137" s="54">
        <f t="shared" si="99"/>
        <v>-1.4244444444444444</v>
      </c>
      <c r="BO137" s="54">
        <f t="shared" ref="BO137:BU137" si="100">BO37*4/BO135</f>
        <v>-1.3434370771312585</v>
      </c>
      <c r="BP137" s="54">
        <f t="shared" si="100"/>
        <v>-1.3865604249667993</v>
      </c>
      <c r="BQ137" s="54">
        <f t="shared" si="100"/>
        <v>-1.2548469387755101</v>
      </c>
      <c r="BR137" s="54">
        <f t="shared" si="100"/>
        <v>-1.5824905660377357</v>
      </c>
      <c r="BS137" s="54">
        <f t="shared" si="100"/>
        <v>-1.5486615776081425</v>
      </c>
      <c r="BT137" s="54">
        <f t="shared" si="100"/>
        <v>-1.526783042394015</v>
      </c>
      <c r="BU137" s="54">
        <f t="shared" si="100"/>
        <v>-1.3063704885566856</v>
      </c>
      <c r="BV137" s="54">
        <f>(BV37+35)*4/BV135</f>
        <v>-1.4752655992931381</v>
      </c>
      <c r="BW137" s="269">
        <f t="shared" ref="BW137:CP137" si="101">(BW37)*4/BW135</f>
        <v>-1.5604886070487698</v>
      </c>
      <c r="BX137" s="269">
        <f t="shared" si="101"/>
        <v>-1.5865676700806977</v>
      </c>
      <c r="BY137" s="269">
        <f t="shared" si="101"/>
        <v>-1.3805543685674158</v>
      </c>
      <c r="BZ137" s="269">
        <f t="shared" si="101"/>
        <v>-1.6853581375687692</v>
      </c>
      <c r="CA137" s="269">
        <f t="shared" si="101"/>
        <v>-1.5830966223118574</v>
      </c>
      <c r="CB137" s="269">
        <f t="shared" si="101"/>
        <v>-1.5913049691328001</v>
      </c>
      <c r="CC137" s="269">
        <f t="shared" si="101"/>
        <v>-1.4553527953013548</v>
      </c>
      <c r="CD137" s="269">
        <f t="shared" si="101"/>
        <v>-1.7480371393359875</v>
      </c>
      <c r="CE137" s="269">
        <f t="shared" si="101"/>
        <v>-1.5632453965038342</v>
      </c>
      <c r="CF137" s="269">
        <f t="shared" si="101"/>
        <v>-1.5879436485948895</v>
      </c>
      <c r="CG137" s="269">
        <f t="shared" si="101"/>
        <v>-1.3250369915058215</v>
      </c>
      <c r="CH137" s="269">
        <f t="shared" si="101"/>
        <v>-1.6823925539977804</v>
      </c>
      <c r="CI137" s="269">
        <f t="shared" si="101"/>
        <v>-1.6539660116443304</v>
      </c>
      <c r="CJ137" s="269">
        <f t="shared" si="101"/>
        <v>-1.7771450177234529</v>
      </c>
      <c r="CK137" s="269">
        <f t="shared" si="101"/>
        <v>-1.4929681435986188</v>
      </c>
      <c r="CL137" s="269">
        <f t="shared" si="101"/>
        <v>-1.702638321981808</v>
      </c>
      <c r="CM137" s="269">
        <f t="shared" si="101"/>
        <v>-1.8020086415923993</v>
      </c>
      <c r="CN137" s="269">
        <f t="shared" si="101"/>
        <v>-1.7624637707704287</v>
      </c>
      <c r="CO137" s="269">
        <f t="shared" si="101"/>
        <v>-1.6029982761204411</v>
      </c>
      <c r="CP137" s="269">
        <f t="shared" si="101"/>
        <v>-1.839453549402883</v>
      </c>
      <c r="CQ137" s="269">
        <f>(CQ37)*4/CQ135</f>
        <v>-1.8350316329198186</v>
      </c>
      <c r="CR137" s="269">
        <f>(CR37)*4/CR135</f>
        <v>-2.0352090434626868</v>
      </c>
      <c r="CS137" s="269">
        <f>(CS37)*4/CS135</f>
        <v>-1.7549298515789473</v>
      </c>
      <c r="CT137" s="269">
        <f>(CT37)*4/CT135</f>
        <v>-1.9586557945109473</v>
      </c>
      <c r="CU137" s="344">
        <f>(CU37)*4/CU135</f>
        <v>-1.9702441948596738</v>
      </c>
    </row>
    <row r="138" spans="1:101" x14ac:dyDescent="0.2">
      <c r="A138" s="23" t="s">
        <v>87</v>
      </c>
      <c r="B138" s="231"/>
      <c r="C138" s="99">
        <f t="shared" ref="C138:BN138" si="102">+C43*4/C135</f>
        <v>-6.8021052631578732E-2</v>
      </c>
      <c r="D138" s="99">
        <f t="shared" si="102"/>
        <v>-0.15178947368421056</v>
      </c>
      <c r="E138" s="99">
        <f t="shared" si="102"/>
        <v>5.0307692307692213E-2</v>
      </c>
      <c r="F138" s="99">
        <f t="shared" si="102"/>
        <v>0.71040000000000025</v>
      </c>
      <c r="G138" s="99">
        <f t="shared" si="102"/>
        <v>0.15058461538461534</v>
      </c>
      <c r="H138" s="99">
        <f t="shared" si="102"/>
        <v>3.8967741935483913E-2</v>
      </c>
      <c r="I138" s="99">
        <f t="shared" si="102"/>
        <v>0.5434098360655738</v>
      </c>
      <c r="J138" s="99">
        <f t="shared" si="102"/>
        <v>1.071586206896552</v>
      </c>
      <c r="K138" s="99">
        <f t="shared" si="102"/>
        <v>0.45818867924528311</v>
      </c>
      <c r="L138" s="99">
        <f t="shared" si="102"/>
        <v>0.95921568627450959</v>
      </c>
      <c r="M138" s="99">
        <f t="shared" si="102"/>
        <v>1.4225714285714284</v>
      </c>
      <c r="N138" s="99">
        <f t="shared" si="102"/>
        <v>1.3546229508196717</v>
      </c>
      <c r="O138" s="99">
        <f t="shared" si="102"/>
        <v>2.1875362318840579</v>
      </c>
      <c r="P138" s="99">
        <f t="shared" si="102"/>
        <v>1.3242191780821917</v>
      </c>
      <c r="Q138" s="99">
        <f t="shared" si="102"/>
        <v>0.90372972972972976</v>
      </c>
      <c r="R138" s="99">
        <f t="shared" si="102"/>
        <v>1.1697142857142855</v>
      </c>
      <c r="S138" s="99">
        <f t="shared" si="102"/>
        <v>1.3446341463414633</v>
      </c>
      <c r="T138" s="99">
        <f t="shared" si="102"/>
        <v>1.3582608695652174</v>
      </c>
      <c r="U138" s="99">
        <f t="shared" si="102"/>
        <v>1.7838350515463921</v>
      </c>
      <c r="V138" s="99">
        <f t="shared" si="102"/>
        <v>1.7342524271844664</v>
      </c>
      <c r="W138" s="99">
        <f t="shared" si="102"/>
        <v>2.5518319327731089</v>
      </c>
      <c r="X138" s="99">
        <f t="shared" si="102"/>
        <v>2.01879674796748</v>
      </c>
      <c r="Y138" s="99">
        <f t="shared" si="102"/>
        <v>1.2803862068965515</v>
      </c>
      <c r="Z138" s="99">
        <f t="shared" si="102"/>
        <v>1.5148535031847137</v>
      </c>
      <c r="AA138" s="99">
        <f t="shared" si="102"/>
        <v>1.9029394325465834</v>
      </c>
      <c r="AB138" s="99">
        <f t="shared" si="102"/>
        <v>1.7337851538823525</v>
      </c>
      <c r="AC138" s="318">
        <f t="shared" si="102"/>
        <v>1.6299161268602147</v>
      </c>
      <c r="AD138" s="100">
        <f t="shared" si="102"/>
        <v>1.590728314059406</v>
      </c>
      <c r="AE138" s="100">
        <f t="shared" si="102"/>
        <v>1.3626342415841581</v>
      </c>
      <c r="AF138" s="100">
        <f t="shared" si="102"/>
        <v>1.1862392908000006</v>
      </c>
      <c r="AG138" s="100">
        <f t="shared" si="102"/>
        <v>1.2328535437185928</v>
      </c>
      <c r="AH138" s="100">
        <f t="shared" si="102"/>
        <v>1.0646202965212763</v>
      </c>
      <c r="AI138" s="100">
        <f t="shared" si="102"/>
        <v>1.1865860798703778</v>
      </c>
      <c r="AJ138" s="99">
        <f t="shared" si="102"/>
        <v>1.6282851305649717</v>
      </c>
      <c r="AK138" s="100">
        <f t="shared" si="102"/>
        <v>1.6481788909677422</v>
      </c>
      <c r="AL138" s="99">
        <f t="shared" si="102"/>
        <v>1.6937437067391303</v>
      </c>
      <c r="AM138" s="100">
        <f t="shared" si="102"/>
        <v>1.7382557235121951</v>
      </c>
      <c r="AN138" s="99">
        <f t="shared" si="102"/>
        <v>1.4870205673873871</v>
      </c>
      <c r="AO138" s="99">
        <f t="shared" si="102"/>
        <v>1.2483561452693728</v>
      </c>
      <c r="AP138" s="99">
        <f t="shared" si="102"/>
        <v>1.3923765886885247</v>
      </c>
      <c r="AQ138" s="99">
        <f t="shared" si="102"/>
        <v>1.7228716920081133</v>
      </c>
      <c r="AR138" s="99">
        <f t="shared" si="102"/>
        <v>1.0771047639370079</v>
      </c>
      <c r="AS138" s="318">
        <f t="shared" si="102"/>
        <v>1.5665125598476191</v>
      </c>
      <c r="AT138" s="100">
        <f t="shared" si="102"/>
        <v>0.94755444577946779</v>
      </c>
      <c r="AU138" s="100">
        <f t="shared" si="102"/>
        <v>1.100481203809524</v>
      </c>
      <c r="AV138" s="99">
        <f t="shared" si="102"/>
        <v>0.72829358031032254</v>
      </c>
      <c r="AW138" s="99">
        <f t="shared" si="102"/>
        <v>0.60536783260254545</v>
      </c>
      <c r="AX138" s="99">
        <f t="shared" si="102"/>
        <v>0.54365842149456511</v>
      </c>
      <c r="AY138" s="99">
        <f t="shared" si="102"/>
        <v>0.79588104089219325</v>
      </c>
      <c r="AZ138" s="99">
        <f t="shared" si="102"/>
        <v>0.53109057301293905</v>
      </c>
      <c r="BA138" s="99">
        <f t="shared" si="102"/>
        <v>1.0945934463276836</v>
      </c>
      <c r="BB138" s="99">
        <f t="shared" si="102"/>
        <v>0.96938757735849068</v>
      </c>
      <c r="BC138" s="99">
        <f t="shared" si="102"/>
        <v>1.1128964482051282</v>
      </c>
      <c r="BD138" s="99">
        <f t="shared" si="102"/>
        <v>0.95083063019538194</v>
      </c>
      <c r="BE138" s="99">
        <f t="shared" si="102"/>
        <v>0.9971789506129598</v>
      </c>
      <c r="BF138" s="99">
        <f t="shared" si="102"/>
        <v>1.1149366540614336</v>
      </c>
      <c r="BG138" s="99">
        <f t="shared" si="102"/>
        <v>1.4941430649350649</v>
      </c>
      <c r="BH138" s="99">
        <f t="shared" si="102"/>
        <v>1.5116767453416151</v>
      </c>
      <c r="BI138" s="318">
        <f t="shared" si="102"/>
        <v>1.3058081204819274</v>
      </c>
      <c r="BJ138" s="99">
        <f t="shared" si="102"/>
        <v>1.6700684866468842</v>
      </c>
      <c r="BK138" s="99">
        <f t="shared" si="102"/>
        <v>1.3804182924096395</v>
      </c>
      <c r="BL138" s="99">
        <f t="shared" si="102"/>
        <v>1.342970880000002</v>
      </c>
      <c r="BM138" s="99">
        <f t="shared" si="102"/>
        <v>1.4227429485880647</v>
      </c>
      <c r="BN138" s="99">
        <f t="shared" si="102"/>
        <v>1.3001810308888901</v>
      </c>
      <c r="BO138" s="99">
        <f t="shared" ref="BO138:BU138" si="103">+BO43*4/BO135</f>
        <v>1.3058773915020312</v>
      </c>
      <c r="BP138" s="318">
        <f t="shared" si="103"/>
        <v>1.0955895834262965</v>
      </c>
      <c r="BQ138" s="99">
        <f t="shared" si="103"/>
        <v>1.0590021042857143</v>
      </c>
      <c r="BR138" s="99">
        <f t="shared" si="103"/>
        <v>1.1427179970817622</v>
      </c>
      <c r="BS138" s="99">
        <f t="shared" si="103"/>
        <v>1.2163562340966922</v>
      </c>
      <c r="BT138" s="99">
        <f t="shared" si="103"/>
        <v>0.89695760598503738</v>
      </c>
      <c r="BU138" s="99">
        <f t="shared" si="103"/>
        <v>1.2824857017345765</v>
      </c>
      <c r="BV138" s="99">
        <f>+(BV43+35)*4/BV135</f>
        <v>1.062994538272497</v>
      </c>
      <c r="BW138" s="100">
        <f t="shared" ref="BW138:CP138" si="104">+(BW43)*4/BW135</f>
        <v>0.94977852285789233</v>
      </c>
      <c r="BX138" s="100">
        <f t="shared" si="104"/>
        <v>1.1240185148166935</v>
      </c>
      <c r="BY138" s="100">
        <f t="shared" si="104"/>
        <v>1.5118554172332839</v>
      </c>
      <c r="BZ138" s="99">
        <f t="shared" si="104"/>
        <v>1.2618622147913323</v>
      </c>
      <c r="CA138" s="99">
        <f t="shared" si="104"/>
        <v>3.1937555155296016</v>
      </c>
      <c r="CB138" s="99">
        <f t="shared" si="104"/>
        <v>2.8600345882323879</v>
      </c>
      <c r="CC138" s="99">
        <f t="shared" si="104"/>
        <v>3.2563463247305022</v>
      </c>
      <c r="CD138" s="99">
        <f t="shared" si="104"/>
        <v>3.8414147244133261</v>
      </c>
      <c r="CE138" s="99">
        <f t="shared" si="104"/>
        <v>5.835843937954639</v>
      </c>
      <c r="CF138" s="99">
        <f t="shared" si="104"/>
        <v>3.9365169195041942</v>
      </c>
      <c r="CG138" s="99">
        <f t="shared" si="104"/>
        <v>3.9514638443186283</v>
      </c>
      <c r="CH138" s="99">
        <f t="shared" si="104"/>
        <v>3.8012633065013084</v>
      </c>
      <c r="CI138" s="99">
        <f t="shared" si="104"/>
        <v>3.4669067263923079</v>
      </c>
      <c r="CJ138" s="99">
        <f t="shared" si="104"/>
        <v>2.2518004471131801</v>
      </c>
      <c r="CK138" s="99">
        <f t="shared" si="104"/>
        <v>3.152782499038743</v>
      </c>
      <c r="CL138" s="99">
        <f t="shared" si="104"/>
        <v>3.5684715567720868</v>
      </c>
      <c r="CM138" s="99">
        <f t="shared" si="104"/>
        <v>3.6050666493110315</v>
      </c>
      <c r="CN138" s="99">
        <f t="shared" si="104"/>
        <v>3.3498580973890899</v>
      </c>
      <c r="CO138" s="99">
        <f t="shared" si="104"/>
        <v>3.5471216162559256</v>
      </c>
      <c r="CP138" s="99">
        <f t="shared" si="104"/>
        <v>3.4813105414079293</v>
      </c>
      <c r="CQ138" s="99">
        <f>+(CQ43)*4/CQ135</f>
        <v>3.9152240535552227</v>
      </c>
      <c r="CR138" s="100">
        <f>+(CR43)*4/CR135</f>
        <v>3.5088900402537631</v>
      </c>
      <c r="CS138" s="100">
        <f>+(CS43)*4/CS135</f>
        <v>3.8482908325146217</v>
      </c>
      <c r="CT138" s="100">
        <f>+(CT43)*4/CT135</f>
        <v>4.2505265731970834</v>
      </c>
      <c r="CU138" s="344">
        <f>+(CU43)*4/CU135</f>
        <v>4.8335587227769734</v>
      </c>
    </row>
    <row r="139" spans="1:101" x14ac:dyDescent="0.2">
      <c r="A139" s="6"/>
      <c r="C139" s="90"/>
      <c r="D139" s="90"/>
      <c r="E139" s="90"/>
      <c r="F139" s="90"/>
      <c r="G139" s="90"/>
      <c r="H139" s="90"/>
      <c r="I139" s="90"/>
      <c r="J139" s="90"/>
      <c r="K139" s="90"/>
      <c r="L139" s="90"/>
      <c r="M139" s="90"/>
      <c r="N139" s="90"/>
      <c r="O139" s="90"/>
      <c r="P139" s="90"/>
      <c r="Q139" s="90"/>
      <c r="R139" s="90"/>
      <c r="S139" s="90"/>
      <c r="T139" s="90"/>
      <c r="U139" s="90"/>
      <c r="V139" s="90"/>
      <c r="W139" s="90"/>
      <c r="X139" s="90"/>
      <c r="Y139" s="90"/>
      <c r="Z139" s="90"/>
      <c r="AA139" s="90"/>
      <c r="AB139" s="90"/>
      <c r="AC139" s="266"/>
      <c r="AD139" s="266"/>
      <c r="AE139" s="266"/>
      <c r="AF139" s="266"/>
      <c r="AG139" s="266"/>
      <c r="AH139" s="266"/>
      <c r="AI139" s="266"/>
      <c r="AJ139" s="90"/>
      <c r="AK139" s="267"/>
      <c r="AL139" s="90"/>
      <c r="AM139" s="266"/>
      <c r="AN139" s="90"/>
      <c r="AO139" s="90"/>
      <c r="AP139" s="90"/>
      <c r="AQ139" s="90"/>
      <c r="AR139" s="90"/>
      <c r="AS139" s="267"/>
      <c r="AT139" s="266"/>
      <c r="AU139" s="266"/>
      <c r="AV139" s="90"/>
      <c r="AW139" s="90"/>
      <c r="AX139" s="90"/>
      <c r="AY139" s="90"/>
      <c r="AZ139" s="90"/>
      <c r="BA139" s="90"/>
      <c r="BB139" s="90"/>
      <c r="BC139" s="90"/>
      <c r="BD139" s="90"/>
      <c r="BE139" s="90"/>
      <c r="BF139" s="90"/>
      <c r="BG139" s="90"/>
      <c r="BH139" s="266"/>
      <c r="BI139" s="294"/>
      <c r="BJ139" s="90"/>
      <c r="BK139" s="90"/>
      <c r="BL139" s="90"/>
      <c r="BM139" s="90"/>
      <c r="BN139" s="90"/>
      <c r="BO139" s="90"/>
      <c r="BP139" s="267"/>
      <c r="BQ139" s="90"/>
      <c r="BR139" s="267"/>
      <c r="BS139" s="90"/>
      <c r="BT139" s="90"/>
      <c r="BU139" s="90"/>
      <c r="BV139" s="90"/>
      <c r="BW139" s="266"/>
      <c r="BX139" s="266"/>
      <c r="BY139" s="266"/>
      <c r="BZ139" s="90"/>
      <c r="CA139" s="90"/>
      <c r="CB139" s="90"/>
      <c r="CC139" s="90"/>
      <c r="CD139" s="90"/>
      <c r="CE139" s="90"/>
      <c r="CF139" s="90"/>
      <c r="CG139" s="90"/>
      <c r="CH139" s="90"/>
      <c r="CI139" s="90"/>
      <c r="CJ139" s="90"/>
      <c r="CK139" s="90"/>
      <c r="CL139" s="90"/>
      <c r="CM139" s="90"/>
      <c r="CN139" s="90"/>
      <c r="CO139" s="90"/>
      <c r="CP139" s="90"/>
      <c r="CQ139" s="90"/>
      <c r="CR139" s="266"/>
      <c r="CS139" s="266"/>
      <c r="CT139" s="266"/>
      <c r="CU139" s="400"/>
    </row>
    <row r="140" spans="1:101" x14ac:dyDescent="0.2">
      <c r="A140" s="135" t="s">
        <v>125</v>
      </c>
      <c r="B140" s="25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5"/>
      <c r="AD140" s="15"/>
      <c r="AE140" s="15"/>
      <c r="AF140" s="15"/>
      <c r="AG140" s="15"/>
      <c r="AH140" s="15"/>
      <c r="AI140" s="15"/>
      <c r="AJ140" s="14"/>
      <c r="AK140" s="4"/>
      <c r="AL140" s="14"/>
      <c r="AM140" s="15"/>
      <c r="AN140" s="14"/>
      <c r="AO140" s="14"/>
      <c r="AP140" s="14"/>
      <c r="AQ140" s="14"/>
      <c r="AR140" s="14"/>
      <c r="AS140" s="4"/>
      <c r="AT140" s="15"/>
      <c r="AU140" s="15"/>
      <c r="AV140" s="14"/>
      <c r="AW140" s="14"/>
      <c r="AX140" s="14"/>
      <c r="AY140" s="14"/>
      <c r="AZ140" s="14"/>
      <c r="BA140" s="14"/>
      <c r="BB140" s="14"/>
      <c r="BC140" s="14"/>
      <c r="BD140" s="14"/>
      <c r="BE140" s="14"/>
      <c r="BF140" s="14"/>
      <c r="BG140" s="14"/>
      <c r="BH140" s="14"/>
      <c r="BI140" s="15"/>
      <c r="BJ140" s="14"/>
      <c r="BK140" s="14"/>
      <c r="BL140" s="14"/>
      <c r="BM140" s="14"/>
      <c r="BN140" s="14"/>
      <c r="BO140" s="14"/>
      <c r="BP140" s="4"/>
      <c r="BQ140" s="14"/>
      <c r="BR140" s="4"/>
      <c r="BS140" s="14"/>
      <c r="BT140" s="14"/>
      <c r="BU140" s="14"/>
      <c r="BV140" s="14"/>
      <c r="BW140" s="15"/>
      <c r="BX140" s="15"/>
      <c r="BY140" s="15"/>
      <c r="BZ140" s="14"/>
      <c r="CA140" s="14"/>
      <c r="CB140" s="14"/>
      <c r="CC140" s="14"/>
      <c r="CD140" s="14"/>
      <c r="CE140" s="14"/>
      <c r="CF140" s="14"/>
      <c r="CG140" s="14"/>
      <c r="CH140" s="14"/>
      <c r="CI140" s="14"/>
      <c r="CJ140" s="14"/>
      <c r="CK140" s="14"/>
      <c r="CL140" s="14"/>
      <c r="CM140" s="14"/>
      <c r="CN140" s="14"/>
      <c r="CO140" s="14"/>
      <c r="CP140" s="14"/>
      <c r="CQ140" s="14"/>
      <c r="CR140" s="15"/>
      <c r="CS140" s="15"/>
      <c r="CT140" s="15"/>
      <c r="CU140" s="114"/>
    </row>
    <row r="141" spans="1:101" ht="15" x14ac:dyDescent="0.2">
      <c r="A141" s="23" t="s">
        <v>208</v>
      </c>
      <c r="B141" s="231">
        <f>32*0.479</f>
        <v>15.327999999999999</v>
      </c>
      <c r="C141" s="54">
        <v>2.8260999999999998</v>
      </c>
      <c r="D141" s="54">
        <v>2.1719999999999997</v>
      </c>
      <c r="E141" s="54">
        <v>2.0634000000000001</v>
      </c>
      <c r="F141" s="54">
        <v>3</v>
      </c>
      <c r="G141" s="54">
        <v>2.5</v>
      </c>
      <c r="H141" s="54">
        <v>2.1</v>
      </c>
      <c r="I141" s="54">
        <v>1.94</v>
      </c>
      <c r="J141" s="54">
        <v>2.7</v>
      </c>
      <c r="K141" s="54">
        <v>2.56</v>
      </c>
      <c r="L141" s="54">
        <v>2.68</v>
      </c>
      <c r="M141" s="54">
        <v>3.5799999999999996</v>
      </c>
      <c r="N141" s="54">
        <v>5.66</v>
      </c>
      <c r="O141" s="54">
        <v>7.3</v>
      </c>
      <c r="P141" s="54">
        <v>6.5200000000000005</v>
      </c>
      <c r="Q141" s="54">
        <v>6.08</v>
      </c>
      <c r="R141" s="54">
        <v>8.5</v>
      </c>
      <c r="S141" s="54">
        <v>11.4</v>
      </c>
      <c r="T141" s="54">
        <v>11.3</v>
      </c>
      <c r="U141" s="54">
        <v>13.1</v>
      </c>
      <c r="V141" s="54">
        <v>19.8</v>
      </c>
      <c r="W141" s="54">
        <v>26</v>
      </c>
      <c r="X141" s="54">
        <v>27</v>
      </c>
      <c r="Y141" s="54">
        <v>25.4</v>
      </c>
      <c r="Z141" s="54">
        <v>24.65</v>
      </c>
      <c r="AA141" s="54">
        <v>24.2</v>
      </c>
      <c r="AB141" s="54">
        <v>25.45</v>
      </c>
      <c r="AC141" s="269">
        <v>23.7</v>
      </c>
      <c r="AD141" s="269">
        <v>27.1</v>
      </c>
      <c r="AE141" s="269">
        <v>26.05</v>
      </c>
      <c r="AF141" s="269">
        <v>18.399999999999999</v>
      </c>
      <c r="AG141" s="269">
        <v>16</v>
      </c>
      <c r="AH141" s="269">
        <v>14.2</v>
      </c>
      <c r="AI141" s="269">
        <v>17.149999999999999</v>
      </c>
      <c r="AJ141" s="54">
        <v>24.05</v>
      </c>
      <c r="AK141" s="284">
        <v>28.8</v>
      </c>
      <c r="AL141" s="54">
        <v>33.700000000000003</v>
      </c>
      <c r="AM141" s="269">
        <v>37.4</v>
      </c>
      <c r="AN141" s="54">
        <v>43.4</v>
      </c>
      <c r="AO141" s="54">
        <v>46.2</v>
      </c>
      <c r="AP141" s="54">
        <v>46.8</v>
      </c>
      <c r="AQ141" s="54">
        <v>48.8</v>
      </c>
      <c r="AR141" s="54">
        <v>38.700000000000003</v>
      </c>
      <c r="AS141" s="284">
        <v>32.799999999999997</v>
      </c>
      <c r="AT141" s="269">
        <v>32.9</v>
      </c>
      <c r="AU141" s="269">
        <v>37.200000000000003</v>
      </c>
      <c r="AV141" s="54">
        <v>28.4</v>
      </c>
      <c r="AW141" s="54">
        <v>28.95</v>
      </c>
      <c r="AX141" s="54">
        <v>26.3</v>
      </c>
      <c r="AY141" s="54">
        <v>35</v>
      </c>
      <c r="AZ141" s="54">
        <v>27.4</v>
      </c>
      <c r="BA141" s="54">
        <v>38.6</v>
      </c>
      <c r="BB141" s="54">
        <v>41.8</v>
      </c>
      <c r="BC141" s="54">
        <v>49.7</v>
      </c>
      <c r="BD141" s="54">
        <v>56</v>
      </c>
      <c r="BE141" s="54">
        <v>48.7</v>
      </c>
      <c r="BF141" s="54">
        <v>51.6</v>
      </c>
      <c r="BG141" s="54">
        <v>60.1</v>
      </c>
      <c r="BH141" s="54">
        <v>60.3</v>
      </c>
      <c r="BI141" s="269">
        <v>68.7</v>
      </c>
      <c r="BJ141" s="54">
        <v>73.5</v>
      </c>
      <c r="BK141" s="54">
        <v>72.400000000000006</v>
      </c>
      <c r="BL141" s="54">
        <v>64.599999999999994</v>
      </c>
      <c r="BM141" s="54">
        <v>67.8</v>
      </c>
      <c r="BN141" s="54">
        <v>73.8</v>
      </c>
      <c r="BO141" s="54">
        <v>67.38</v>
      </c>
      <c r="BP141" s="284">
        <v>73.58</v>
      </c>
      <c r="BQ141" s="54">
        <v>68.239999999999995</v>
      </c>
      <c r="BR141" s="284">
        <v>68.820000000000007</v>
      </c>
      <c r="BS141" s="54">
        <v>88.039999999999992</v>
      </c>
      <c r="BT141" s="54">
        <v>92</v>
      </c>
      <c r="BU141" s="54">
        <v>80.960000000000008</v>
      </c>
      <c r="BV141" s="319">
        <v>84.72</v>
      </c>
      <c r="BW141" s="269">
        <v>79.8</v>
      </c>
      <c r="BX141" s="269">
        <v>70.900000000000006</v>
      </c>
      <c r="BY141" s="269">
        <v>80.2</v>
      </c>
      <c r="BZ141" s="54">
        <v>97.8</v>
      </c>
      <c r="CA141" s="54">
        <v>82.8</v>
      </c>
      <c r="CB141" s="54">
        <v>132.30000000000001</v>
      </c>
      <c r="CC141" s="54">
        <v>175.8</v>
      </c>
      <c r="CD141" s="54">
        <v>233</v>
      </c>
      <c r="CE141" s="54">
        <v>271.39999999999998</v>
      </c>
      <c r="CF141" s="54">
        <v>266.89999999999998</v>
      </c>
      <c r="CG141" s="54">
        <v>309.60000000000002</v>
      </c>
      <c r="CH141" s="54">
        <v>332.2</v>
      </c>
      <c r="CI141" s="54">
        <v>242</v>
      </c>
      <c r="CJ141" s="54">
        <v>171.65</v>
      </c>
      <c r="CK141" s="54">
        <v>170.95</v>
      </c>
      <c r="CL141" s="54">
        <v>223.6</v>
      </c>
      <c r="CM141" s="54">
        <v>243</v>
      </c>
      <c r="CN141" s="54">
        <v>219.5</v>
      </c>
      <c r="CO141" s="54">
        <v>189.4</v>
      </c>
      <c r="CP141" s="54">
        <v>233.5</v>
      </c>
      <c r="CQ141" s="54">
        <v>230.9</v>
      </c>
      <c r="CR141" s="269">
        <v>257.5</v>
      </c>
      <c r="CS141" s="269">
        <v>251.5</v>
      </c>
      <c r="CT141" s="269">
        <v>272.89999999999998</v>
      </c>
      <c r="CU141" s="344">
        <v>305.3</v>
      </c>
    </row>
    <row r="142" spans="1:101" x14ac:dyDescent="0.2">
      <c r="A142" s="23" t="s">
        <v>88</v>
      </c>
      <c r="B142" s="231"/>
      <c r="C142" s="24">
        <f t="shared" ref="C142:BN142" si="105">+C141*C146/1000000</f>
        <v>296.59313301550003</v>
      </c>
      <c r="D142" s="24">
        <f t="shared" si="105"/>
        <v>227.94674105999997</v>
      </c>
      <c r="E142" s="24">
        <f t="shared" si="105"/>
        <v>262.21148652600004</v>
      </c>
      <c r="F142" s="24">
        <f t="shared" si="105"/>
        <v>399.34311000000002</v>
      </c>
      <c r="G142" s="24">
        <f t="shared" si="105"/>
        <v>332.78592500000002</v>
      </c>
      <c r="H142" s="24">
        <f t="shared" si="105"/>
        <v>279.54017700000003</v>
      </c>
      <c r="I142" s="24">
        <f t="shared" si="105"/>
        <v>258.2418778</v>
      </c>
      <c r="J142" s="24">
        <f t="shared" si="105"/>
        <v>359.40879899999999</v>
      </c>
      <c r="K142" s="24">
        <f t="shared" si="105"/>
        <v>340.77278719999998</v>
      </c>
      <c r="L142" s="24">
        <f t="shared" si="105"/>
        <v>356.74651160000002</v>
      </c>
      <c r="M142" s="24">
        <f t="shared" si="105"/>
        <v>476.54944459999996</v>
      </c>
      <c r="N142" s="24">
        <f t="shared" si="105"/>
        <v>753.42733420000002</v>
      </c>
      <c r="O142" s="24">
        <f t="shared" si="105"/>
        <v>971.73490100000004</v>
      </c>
      <c r="P142" s="24">
        <f t="shared" si="105"/>
        <v>867.90569240000013</v>
      </c>
      <c r="Q142" s="24">
        <f t="shared" si="105"/>
        <v>809.33536960000004</v>
      </c>
      <c r="R142" s="24">
        <f t="shared" si="105"/>
        <v>1131.472145</v>
      </c>
      <c r="S142" s="24">
        <f t="shared" si="105"/>
        <v>1565.543418</v>
      </c>
      <c r="T142" s="24">
        <f t="shared" si="105"/>
        <v>1551.810581</v>
      </c>
      <c r="U142" s="24">
        <f t="shared" si="105"/>
        <v>1799.001647</v>
      </c>
      <c r="V142" s="24">
        <f t="shared" si="105"/>
        <v>2719.1017259999999</v>
      </c>
      <c r="W142" s="24">
        <f t="shared" si="105"/>
        <v>3570.5376200000001</v>
      </c>
      <c r="X142" s="24">
        <f t="shared" si="105"/>
        <v>3707.8659899999998</v>
      </c>
      <c r="Y142" s="24">
        <f t="shared" si="105"/>
        <v>3488.140598</v>
      </c>
      <c r="Z142" s="24">
        <f t="shared" si="105"/>
        <v>3385.1443205</v>
      </c>
      <c r="AA142" s="24">
        <f t="shared" si="105"/>
        <v>3323.3465540000002</v>
      </c>
      <c r="AB142" s="24">
        <f t="shared" si="105"/>
        <v>3495.0070165000002</v>
      </c>
      <c r="AC142" s="232">
        <f t="shared" si="105"/>
        <v>3254.6823690000001</v>
      </c>
      <c r="AD142" s="25">
        <f t="shared" si="105"/>
        <v>3680.18</v>
      </c>
      <c r="AE142" s="25">
        <f t="shared" si="105"/>
        <v>3537.59</v>
      </c>
      <c r="AF142" s="25">
        <f t="shared" si="105"/>
        <v>2517.10574</v>
      </c>
      <c r="AG142" s="25">
        <f t="shared" si="105"/>
        <v>2199.6887999999999</v>
      </c>
      <c r="AH142" s="25">
        <f t="shared" si="105"/>
        <v>1958.0103099999999</v>
      </c>
      <c r="AI142" s="25">
        <f t="shared" si="105"/>
        <v>2364.7800575000001</v>
      </c>
      <c r="AJ142" s="24">
        <f t="shared" si="105"/>
        <v>3316.2076025000001</v>
      </c>
      <c r="AK142" s="25">
        <f t="shared" si="105"/>
        <v>3971.1758399999999</v>
      </c>
      <c r="AL142" s="24">
        <f t="shared" si="105"/>
        <v>4646.8272850000003</v>
      </c>
      <c r="AM142" s="25">
        <f t="shared" si="105"/>
        <v>5157.01307</v>
      </c>
      <c r="AN142" s="24">
        <f t="shared" si="105"/>
        <v>6020.8212400000002</v>
      </c>
      <c r="AO142" s="24">
        <f t="shared" si="105"/>
        <v>6437.73207</v>
      </c>
      <c r="AP142" s="24">
        <f t="shared" si="105"/>
        <v>6542.0479800000003</v>
      </c>
      <c r="AQ142" s="24">
        <f t="shared" si="105"/>
        <v>6821.6226800000004</v>
      </c>
      <c r="AR142" s="24">
        <f t="shared" si="105"/>
        <v>5522.1171254999999</v>
      </c>
      <c r="AS142" s="232">
        <f t="shared" si="105"/>
        <v>4654.2842479999999</v>
      </c>
      <c r="AT142" s="25">
        <f t="shared" si="105"/>
        <v>4649.1893104999999</v>
      </c>
      <c r="AU142" s="25">
        <f t="shared" si="105"/>
        <v>5256.8341140000002</v>
      </c>
      <c r="AV142" s="24">
        <f t="shared" si="105"/>
        <v>4100.0720739999997</v>
      </c>
      <c r="AW142" s="24">
        <f t="shared" si="105"/>
        <v>4179.4748782500001</v>
      </c>
      <c r="AX142" s="24">
        <f t="shared" si="105"/>
        <v>3796.8977304999999</v>
      </c>
      <c r="AY142" s="24">
        <f t="shared" si="105"/>
        <v>5052.9057249999996</v>
      </c>
      <c r="AZ142" s="24">
        <f t="shared" si="105"/>
        <v>3955.7033390000001</v>
      </c>
      <c r="BA142" s="24">
        <f t="shared" si="105"/>
        <v>5572.6331710000004</v>
      </c>
      <c r="BB142" s="24">
        <f t="shared" si="105"/>
        <v>6034.6131230000001</v>
      </c>
      <c r="BC142" s="24">
        <f t="shared" si="105"/>
        <v>7175.1261295000004</v>
      </c>
      <c r="BD142" s="24">
        <f t="shared" si="105"/>
        <v>8084.6491599999999</v>
      </c>
      <c r="BE142" s="24">
        <f t="shared" si="105"/>
        <v>7030.7573945000004</v>
      </c>
      <c r="BF142" s="24">
        <f t="shared" si="105"/>
        <v>7449.4267259999997</v>
      </c>
      <c r="BG142" s="24">
        <f t="shared" si="105"/>
        <v>8676.5609734999998</v>
      </c>
      <c r="BH142" s="24">
        <f t="shared" si="105"/>
        <v>8847.2425320000002</v>
      </c>
      <c r="BI142" s="232">
        <f t="shared" si="105"/>
        <v>10079.694228</v>
      </c>
      <c r="BJ142" s="24">
        <f t="shared" si="105"/>
        <v>10783.95234</v>
      </c>
      <c r="BK142" s="24">
        <f t="shared" si="105"/>
        <v>10622.559856</v>
      </c>
      <c r="BL142" s="24">
        <f t="shared" si="105"/>
        <v>9637.9718059999996</v>
      </c>
      <c r="BM142" s="24">
        <f t="shared" si="105"/>
        <v>10115.394558</v>
      </c>
      <c r="BN142" s="24">
        <f t="shared" si="105"/>
        <v>11010.562217999999</v>
      </c>
      <c r="BO142" s="24">
        <f t="shared" ref="BO142:CR142" si="106">+BO141*BO146/1000000</f>
        <v>10052.732821799998</v>
      </c>
      <c r="BP142" s="232">
        <f t="shared" si="106"/>
        <v>10977.739403799998</v>
      </c>
      <c r="BQ142" s="24">
        <f t="shared" si="106"/>
        <v>10234.7109464</v>
      </c>
      <c r="BR142" s="24">
        <f t="shared" si="106"/>
        <v>10321.699990200001</v>
      </c>
      <c r="BS142" s="24">
        <f t="shared" si="106"/>
        <v>13204.3369244</v>
      </c>
      <c r="BT142" s="24">
        <f t="shared" si="106"/>
        <v>13798.262119999999</v>
      </c>
      <c r="BU142" s="24">
        <f t="shared" si="106"/>
        <v>12254.508780800001</v>
      </c>
      <c r="BV142" s="24">
        <f t="shared" si="106"/>
        <v>12823.6411056</v>
      </c>
      <c r="BW142" s="25">
        <f t="shared" si="106"/>
        <v>12078.925404</v>
      </c>
      <c r="BX142" s="25">
        <f t="shared" si="106"/>
        <v>10731.777082000001</v>
      </c>
      <c r="BY142" s="25">
        <f t="shared" si="106"/>
        <v>12333.663024399999</v>
      </c>
      <c r="BZ142" s="24">
        <f t="shared" si="106"/>
        <v>15040.302291600001</v>
      </c>
      <c r="CA142" s="24">
        <f t="shared" si="106"/>
        <v>12733.5074616</v>
      </c>
      <c r="CB142" s="24">
        <f t="shared" si="106"/>
        <v>20345.930400600002</v>
      </c>
      <c r="CC142" s="24">
        <f t="shared" si="106"/>
        <v>27240.914958000001</v>
      </c>
      <c r="CD142" s="24">
        <f t="shared" si="106"/>
        <v>36104.284330000002</v>
      </c>
      <c r="CE142" s="24">
        <f t="shared" si="106"/>
        <v>42054.518314000001</v>
      </c>
      <c r="CF142" s="24">
        <f t="shared" si="106"/>
        <v>41357.225269000002</v>
      </c>
      <c r="CG142" s="24">
        <f t="shared" si="106"/>
        <v>48165.016276800001</v>
      </c>
      <c r="CH142" s="24">
        <f t="shared" si="106"/>
        <v>51680.938007600002</v>
      </c>
      <c r="CI142" s="24">
        <f t="shared" si="106"/>
        <v>37648.365436</v>
      </c>
      <c r="CJ142" s="24">
        <f t="shared" si="106"/>
        <v>26703.892260700002</v>
      </c>
      <c r="CK142" s="24">
        <f t="shared" si="106"/>
        <v>26774.022665649998</v>
      </c>
      <c r="CL142" s="24">
        <f t="shared" si="106"/>
        <v>35020.0144372</v>
      </c>
      <c r="CM142" s="24">
        <f t="shared" si="106"/>
        <v>38058.423561000003</v>
      </c>
      <c r="CN142" s="24">
        <f t="shared" si="106"/>
        <v>34377.876426499999</v>
      </c>
      <c r="CO142" s="24">
        <f t="shared" si="106"/>
        <v>29727.6495498</v>
      </c>
      <c r="CP142" s="24">
        <f t="shared" si="106"/>
        <v>36714.827591499998</v>
      </c>
      <c r="CQ142" s="24">
        <f t="shared" si="106"/>
        <v>36306.011524099995</v>
      </c>
      <c r="CR142" s="25">
        <f t="shared" si="106"/>
        <v>40488.5143675</v>
      </c>
      <c r="CS142" s="25">
        <f t="shared" ref="CS142:CT142" si="107">+CS141*CS146/1000000</f>
        <v>39545.092673500003</v>
      </c>
      <c r="CT142" s="25">
        <f t="shared" si="107"/>
        <v>42909.963382099995</v>
      </c>
      <c r="CU142" s="69">
        <f>+CU141*CU146/1000000</f>
        <v>48004.440529700005</v>
      </c>
    </row>
    <row r="143" spans="1:101" x14ac:dyDescent="0.2">
      <c r="A143" s="6" t="s">
        <v>46</v>
      </c>
      <c r="C143" s="95" t="s">
        <v>34</v>
      </c>
      <c r="D143" s="95" t="s">
        <v>34</v>
      </c>
      <c r="E143" s="95" t="s">
        <v>34</v>
      </c>
      <c r="F143" s="104">
        <f t="shared" ref="F143:BQ143" si="108">F142/SUM(C47:F47)</f>
        <v>59.050454963251582</v>
      </c>
      <c r="G143" s="104">
        <f t="shared" si="108"/>
        <v>36.084212164190106</v>
      </c>
      <c r="H143" s="104">
        <f t="shared" si="108"/>
        <v>24.926184247132344</v>
      </c>
      <c r="I143" s="104">
        <f t="shared" si="108"/>
        <v>15.674734495333547</v>
      </c>
      <c r="J143" s="104">
        <f t="shared" si="108"/>
        <v>18.573407036017262</v>
      </c>
      <c r="K143" s="104">
        <f t="shared" si="108"/>
        <v>15.5178864845173</v>
      </c>
      <c r="L143" s="104">
        <f t="shared" si="108"/>
        <v>11.76188734062363</v>
      </c>
      <c r="M143" s="104">
        <f t="shared" si="108"/>
        <v>12.312793760787111</v>
      </c>
      <c r="N143" s="104">
        <f t="shared" si="108"/>
        <v>17.773704510497762</v>
      </c>
      <c r="O143" s="104">
        <f t="shared" si="108"/>
        <v>14.906634786605162</v>
      </c>
      <c r="P143" s="104">
        <f t="shared" si="108"/>
        <v>11.762993996426268</v>
      </c>
      <c r="Q143" s="104">
        <f t="shared" si="108"/>
        <v>11.322403551830925</v>
      </c>
      <c r="R143" s="104">
        <f t="shared" si="108"/>
        <v>15.538067692437837</v>
      </c>
      <c r="S143" s="104">
        <f t="shared" si="108"/>
        <v>23.919627056679467</v>
      </c>
      <c r="T143" s="104">
        <f t="shared" si="108"/>
        <v>22.125129758624148</v>
      </c>
      <c r="U143" s="104">
        <f t="shared" si="108"/>
        <v>20.059955092057159</v>
      </c>
      <c r="V143" s="104">
        <f t="shared" si="108"/>
        <v>25.661586693091728</v>
      </c>
      <c r="W143" s="104">
        <f t="shared" si="108"/>
        <v>25.273311437813653</v>
      </c>
      <c r="X143" s="104">
        <f t="shared" si="108"/>
        <v>22.544741437492014</v>
      </c>
      <c r="Y143" s="104">
        <f t="shared" si="108"/>
        <v>20.937218475390154</v>
      </c>
      <c r="Z143" s="104">
        <f t="shared" si="108"/>
        <v>17.999672034434536</v>
      </c>
      <c r="AA143" s="104">
        <f t="shared" si="108"/>
        <v>17.5798155249588</v>
      </c>
      <c r="AB143" s="104">
        <f t="shared" si="108"/>
        <v>17.611419571132295</v>
      </c>
      <c r="AC143" s="105">
        <f t="shared" si="108"/>
        <v>14.691949726931242</v>
      </c>
      <c r="AD143" s="105">
        <f t="shared" si="108"/>
        <v>15.862703912144864</v>
      </c>
      <c r="AE143" s="105">
        <f t="shared" si="108"/>
        <v>15.4667825291891</v>
      </c>
      <c r="AF143" s="105">
        <f t="shared" si="108"/>
        <v>11.475405253981071</v>
      </c>
      <c r="AG143" s="105">
        <f t="shared" si="108"/>
        <v>10.430441905122038</v>
      </c>
      <c r="AH143" s="105">
        <f t="shared" si="108"/>
        <v>10.555504461320332</v>
      </c>
      <c r="AI143" s="105">
        <f t="shared" si="108"/>
        <v>13.339241009430326</v>
      </c>
      <c r="AJ143" s="106">
        <f t="shared" si="108"/>
        <v>17.27015084998196</v>
      </c>
      <c r="AK143" s="105">
        <f t="shared" si="108"/>
        <v>19.53112896750719</v>
      </c>
      <c r="AL143" s="106">
        <f t="shared" si="108"/>
        <v>20.362912818628708</v>
      </c>
      <c r="AM143" s="105">
        <f t="shared" si="108"/>
        <v>20.090451737505735</v>
      </c>
      <c r="AN143" s="106">
        <f t="shared" si="108"/>
        <v>22.79165659506544</v>
      </c>
      <c r="AO143" s="106">
        <f t="shared" si="108"/>
        <v>24.276795573473425</v>
      </c>
      <c r="AP143" s="106">
        <f t="shared" si="108"/>
        <v>24.21158302362829</v>
      </c>
      <c r="AQ143" s="106">
        <f t="shared" si="108"/>
        <v>23.827700423568313</v>
      </c>
      <c r="AR143" s="106">
        <f t="shared" si="108"/>
        <v>19.996360845552118</v>
      </c>
      <c r="AS143" s="107">
        <f t="shared" si="108"/>
        <v>15.345203326306754</v>
      </c>
      <c r="AT143" s="105">
        <f t="shared" si="108"/>
        <v>16.049828449599485</v>
      </c>
      <c r="AU143" s="105">
        <f t="shared" si="108"/>
        <v>20.162809769148684</v>
      </c>
      <c r="AV143" s="106">
        <f t="shared" si="108"/>
        <v>16.946874690587055</v>
      </c>
      <c r="AW143" s="106">
        <f t="shared" si="108"/>
        <v>22.500123580709964</v>
      </c>
      <c r="AX143" s="106">
        <f t="shared" si="108"/>
        <v>23.735929880221452</v>
      </c>
      <c r="AY143" s="106">
        <f t="shared" si="108"/>
        <v>35.024422680548639</v>
      </c>
      <c r="AZ143" s="106">
        <f t="shared" si="108"/>
        <v>28.546716323192985</v>
      </c>
      <c r="BA143" s="106">
        <f t="shared" si="108"/>
        <v>33.051593210063039</v>
      </c>
      <c r="BB143" s="106">
        <f t="shared" si="108"/>
        <v>31.216707738883123</v>
      </c>
      <c r="BC143" s="106">
        <f t="shared" si="108"/>
        <v>33.521460450598987</v>
      </c>
      <c r="BD143" s="106">
        <f t="shared" si="108"/>
        <v>34.167882877760889</v>
      </c>
      <c r="BE143" s="106">
        <f t="shared" si="108"/>
        <v>29.850101174652078</v>
      </c>
      <c r="BF143" s="106">
        <f t="shared" si="108"/>
        <v>29.847534892126507</v>
      </c>
      <c r="BG143" s="106">
        <f t="shared" si="108"/>
        <v>30.618493816954956</v>
      </c>
      <c r="BH143" s="106">
        <f t="shared" si="108"/>
        <v>26.601707675876447</v>
      </c>
      <c r="BI143" s="107">
        <f t="shared" si="108"/>
        <v>27.56348088321014</v>
      </c>
      <c r="BJ143" s="106">
        <f t="shared" si="108"/>
        <v>25.91521657163922</v>
      </c>
      <c r="BK143" s="106">
        <f t="shared" si="108"/>
        <v>25.556499042078144</v>
      </c>
      <c r="BL143" s="106">
        <f t="shared" si="108"/>
        <v>23.792121087830903</v>
      </c>
      <c r="BM143" s="106">
        <f t="shared" si="108"/>
        <v>24.281596614365554</v>
      </c>
      <c r="BN143" s="106">
        <f t="shared" si="108"/>
        <v>27.602318678413216</v>
      </c>
      <c r="BO143" s="106">
        <f t="shared" si="108"/>
        <v>24.910402993424757</v>
      </c>
      <c r="BP143" s="107">
        <f t="shared" si="108"/>
        <v>27.585923810450662</v>
      </c>
      <c r="BQ143" s="106">
        <f t="shared" si="108"/>
        <v>26.827320092535778</v>
      </c>
      <c r="BR143" s="106">
        <f t="shared" ref="BR143:CU143" si="109">BR142/SUM(BO47:BR47)</f>
        <v>27.267088310942082</v>
      </c>
      <c r="BS143" s="106">
        <f t="shared" si="109"/>
        <v>34.845715162323039</v>
      </c>
      <c r="BT143" s="106">
        <f t="shared" si="109"/>
        <v>37.328838840244181</v>
      </c>
      <c r="BU143" s="106">
        <f t="shared" si="109"/>
        <v>31.645475579645804</v>
      </c>
      <c r="BV143" s="106">
        <f t="shared" si="109"/>
        <v>36.73604209156619</v>
      </c>
      <c r="BW143" s="105">
        <f t="shared" si="109"/>
        <v>36.332334262545501</v>
      </c>
      <c r="BX143" s="105">
        <f t="shared" si="109"/>
        <v>30.287450621146473</v>
      </c>
      <c r="BY143" s="105">
        <f t="shared" si="109"/>
        <v>31.973225346596369</v>
      </c>
      <c r="BZ143" s="106">
        <f t="shared" si="109"/>
        <v>33.652314108886074</v>
      </c>
      <c r="CA143" s="106">
        <f t="shared" si="109"/>
        <v>19.157894866468251</v>
      </c>
      <c r="CB143" s="106">
        <f t="shared" si="109"/>
        <v>24.098508479007815</v>
      </c>
      <c r="CC143" s="106">
        <f t="shared" si="109"/>
        <v>26.252456185259689</v>
      </c>
      <c r="CD143" s="106">
        <f t="shared" si="109"/>
        <v>27.052451464744983</v>
      </c>
      <c r="CE143" s="106">
        <f t="shared" si="109"/>
        <v>25.310386921165438</v>
      </c>
      <c r="CF143" s="106">
        <f t="shared" si="109"/>
        <v>22.581534252357251</v>
      </c>
      <c r="CG143" s="106">
        <f t="shared" si="109"/>
        <v>24.30865079976844</v>
      </c>
      <c r="CH143" s="106">
        <f t="shared" si="109"/>
        <v>25.250804791167184</v>
      </c>
      <c r="CI143" s="106">
        <f t="shared" si="109"/>
        <v>20.264279819665099</v>
      </c>
      <c r="CJ143" s="106">
        <f t="shared" si="109"/>
        <v>15.680933524805059</v>
      </c>
      <c r="CK143" s="106">
        <f t="shared" si="109"/>
        <v>16.176475125298879</v>
      </c>
      <c r="CL143" s="106">
        <f t="shared" si="109"/>
        <v>21.017054688519107</v>
      </c>
      <c r="CM143" s="106">
        <f t="shared" si="109"/>
        <v>22.076511849067785</v>
      </c>
      <c r="CN143" s="106">
        <f t="shared" si="109"/>
        <v>18.087592109385568</v>
      </c>
      <c r="CO143" s="106">
        <f t="shared" si="109"/>
        <v>15.033350441882147</v>
      </c>
      <c r="CP143" s="106">
        <f t="shared" si="109"/>
        <v>18.52303274523927</v>
      </c>
      <c r="CQ143" s="106">
        <f t="shared" si="109"/>
        <v>17.830760793024822</v>
      </c>
      <c r="CR143" s="105">
        <f t="shared" si="109"/>
        <v>19.561367983764679</v>
      </c>
      <c r="CS143" s="105">
        <f t="shared" si="109"/>
        <v>18.582726705069906</v>
      </c>
      <c r="CT143" s="105">
        <f t="shared" si="109"/>
        <v>19.038129805502933</v>
      </c>
      <c r="CU143" s="69">
        <f t="shared" si="109"/>
        <v>19.946921694083461</v>
      </c>
    </row>
    <row r="144" spans="1:101" x14ac:dyDescent="0.2">
      <c r="A144" s="23" t="s">
        <v>174</v>
      </c>
      <c r="B144" s="231"/>
      <c r="C144" s="295">
        <f t="shared" ref="C144:BN144" si="110">+C142/C60</f>
        <v>0.84789346202258442</v>
      </c>
      <c r="D144" s="295">
        <f t="shared" si="110"/>
        <v>0.70528075823019798</v>
      </c>
      <c r="E144" s="295">
        <f t="shared" si="110"/>
        <v>0.74619091214001154</v>
      </c>
      <c r="F144" s="295">
        <f t="shared" si="110"/>
        <v>2.2409826599326603</v>
      </c>
      <c r="G144" s="295">
        <f t="shared" si="110"/>
        <v>1.864346918767507</v>
      </c>
      <c r="H144" s="295">
        <f t="shared" si="110"/>
        <v>1.5757619898534387</v>
      </c>
      <c r="I144" s="295">
        <f t="shared" si="110"/>
        <v>1.4181322229544207</v>
      </c>
      <c r="J144" s="295">
        <f t="shared" si="110"/>
        <v>1.8719208281249999</v>
      </c>
      <c r="K144" s="295">
        <f t="shared" si="110"/>
        <v>1.7502454401643555</v>
      </c>
      <c r="L144" s="295">
        <f t="shared" si="110"/>
        <v>1.7669465656265479</v>
      </c>
      <c r="M144" s="295">
        <f t="shared" si="110"/>
        <v>2.218572833333333</v>
      </c>
      <c r="N144" s="295">
        <f t="shared" si="110"/>
        <v>3.3001635313184408</v>
      </c>
      <c r="O144" s="295">
        <f t="shared" si="110"/>
        <v>4.2770022051056342</v>
      </c>
      <c r="P144" s="295">
        <f t="shared" si="110"/>
        <v>3.5716283637860089</v>
      </c>
      <c r="Q144" s="295">
        <f t="shared" si="110"/>
        <v>3.1926444560157794</v>
      </c>
      <c r="R144" s="295">
        <f t="shared" si="110"/>
        <v>4.2377233895131088</v>
      </c>
      <c r="S144" s="295">
        <f t="shared" si="110"/>
        <v>5.9323358014399394</v>
      </c>
      <c r="T144" s="295">
        <f t="shared" si="110"/>
        <v>5.4278089576775095</v>
      </c>
      <c r="U144" s="295">
        <f t="shared" si="110"/>
        <v>5.641272019441832</v>
      </c>
      <c r="V144" s="295">
        <f t="shared" si="110"/>
        <v>7.6875932315521629</v>
      </c>
      <c r="W144" s="295">
        <f t="shared" si="110"/>
        <v>8.7299208312958445</v>
      </c>
      <c r="X144" s="295">
        <f t="shared" si="110"/>
        <v>9.2928972180451126</v>
      </c>
      <c r="Y144" s="295">
        <f t="shared" si="110"/>
        <v>8.0205578247873071</v>
      </c>
      <c r="Z144" s="295">
        <f t="shared" si="110"/>
        <v>6.9254180042962359</v>
      </c>
      <c r="AA144" s="295">
        <f t="shared" si="110"/>
        <v>7.6433913385464587</v>
      </c>
      <c r="AB144" s="295">
        <f t="shared" si="110"/>
        <v>7.1457923052545489</v>
      </c>
      <c r="AC144" s="295">
        <f t="shared" si="110"/>
        <v>5.9283831857923497</v>
      </c>
      <c r="AD144" s="295">
        <f t="shared" si="110"/>
        <v>6.4226527050610818</v>
      </c>
      <c r="AE144" s="295">
        <f t="shared" si="110"/>
        <v>5.6420893141945774</v>
      </c>
      <c r="AF144" s="295">
        <f t="shared" si="110"/>
        <v>4.7762917267552183</v>
      </c>
      <c r="AG144" s="295">
        <f t="shared" si="110"/>
        <v>3.7730511149228128</v>
      </c>
      <c r="AH144" s="295">
        <f t="shared" si="110"/>
        <v>3.1178508121019108</v>
      </c>
      <c r="AI144" s="295">
        <f t="shared" si="110"/>
        <v>3.5190179427083335</v>
      </c>
      <c r="AJ144" s="295">
        <f t="shared" si="110"/>
        <v>5.8179080745614034</v>
      </c>
      <c r="AK144" s="295">
        <f t="shared" si="110"/>
        <v>6.3034537142857143</v>
      </c>
      <c r="AL144" s="295">
        <f t="shared" si="110"/>
        <v>6.7053784776334782</v>
      </c>
      <c r="AM144" s="295">
        <f t="shared" si="110"/>
        <v>6.7236154758800524</v>
      </c>
      <c r="AN144" s="295">
        <f t="shared" si="110"/>
        <v>9.3057515301391032</v>
      </c>
      <c r="AO144" s="295">
        <f t="shared" si="110"/>
        <v>8.8309081893004109</v>
      </c>
      <c r="AP144" s="295">
        <f t="shared" si="110"/>
        <v>8.0467994833948335</v>
      </c>
      <c r="AQ144" s="295">
        <f t="shared" si="110"/>
        <v>7.5543994241417503</v>
      </c>
      <c r="AR144" s="295">
        <f t="shared" si="110"/>
        <v>7.0978369222365041</v>
      </c>
      <c r="AS144" s="295">
        <f t="shared" si="110"/>
        <v>5.5412763539818801</v>
      </c>
      <c r="AT144" s="295">
        <f t="shared" si="110"/>
        <v>5.3111740432507766</v>
      </c>
      <c r="AU144" s="295">
        <f t="shared" si="110"/>
        <v>5.6222824748663101</v>
      </c>
      <c r="AV144" s="295">
        <f t="shared" si="110"/>
        <v>5.352574509138381</v>
      </c>
      <c r="AW144" s="295">
        <f t="shared" si="110"/>
        <v>5.2374371907894739</v>
      </c>
      <c r="AX144" s="295">
        <f t="shared" si="110"/>
        <v>4.5856252783816425</v>
      </c>
      <c r="AY144" s="295">
        <f t="shared" si="110"/>
        <v>5.787979066437571</v>
      </c>
      <c r="AZ144" s="295">
        <f t="shared" si="110"/>
        <v>5.8343707064896755</v>
      </c>
      <c r="BA144" s="295">
        <f t="shared" si="110"/>
        <v>7.5305853662162168</v>
      </c>
      <c r="BB144" s="295">
        <f t="shared" si="110"/>
        <v>7.6002684168765748</v>
      </c>
      <c r="BC144" s="295">
        <f t="shared" si="110"/>
        <v>8.3528825721769504</v>
      </c>
      <c r="BD144" s="295">
        <f t="shared" si="110"/>
        <v>11.836968023426062</v>
      </c>
      <c r="BE144" s="295">
        <f t="shared" si="110"/>
        <v>9.4119911572958515</v>
      </c>
      <c r="BF144" s="295">
        <f t="shared" si="110"/>
        <v>9.1404008907975456</v>
      </c>
      <c r="BG144" s="295">
        <f t="shared" si="110"/>
        <v>12.18618114255618</v>
      </c>
      <c r="BH144" s="295">
        <f t="shared" si="110"/>
        <v>9.7329400792079213</v>
      </c>
      <c r="BI144" s="295">
        <f t="shared" si="110"/>
        <v>10.009626840119166</v>
      </c>
      <c r="BJ144" s="295">
        <f t="shared" si="110"/>
        <v>9.5772223268206034</v>
      </c>
      <c r="BK144" s="295">
        <f t="shared" si="110"/>
        <v>8.6785619738562083</v>
      </c>
      <c r="BL144" s="295">
        <f t="shared" si="110"/>
        <v>8.8179065013723701</v>
      </c>
      <c r="BM144" s="295">
        <f t="shared" si="110"/>
        <v>8.3806085816072908</v>
      </c>
      <c r="BN144" s="295">
        <f t="shared" si="110"/>
        <v>8.4178610229357798</v>
      </c>
      <c r="BO144" s="295">
        <f t="shared" ref="BO144:CN144" si="111">+BO142/BO60</f>
        <v>9.1554943732240428</v>
      </c>
      <c r="BP144" s="295">
        <f t="shared" si="111"/>
        <v>9.2561040504215839</v>
      </c>
      <c r="BQ144" s="295">
        <f t="shared" si="111"/>
        <v>7.7010616601956361</v>
      </c>
      <c r="BR144" s="295">
        <f t="shared" si="111"/>
        <v>7.2331464542396642</v>
      </c>
      <c r="BS144" s="295">
        <f t="shared" si="111"/>
        <v>10.576098748527384</v>
      </c>
      <c r="BT144" s="295">
        <f t="shared" si="111"/>
        <v>10.425242735063591</v>
      </c>
      <c r="BU144" s="295">
        <f t="shared" si="111"/>
        <v>7.9669896592536844</v>
      </c>
      <c r="BV144" s="295">
        <f t="shared" si="111"/>
        <v>7.9437614068207143</v>
      </c>
      <c r="BW144" s="295">
        <f t="shared" si="111"/>
        <v>8.5306328084883134</v>
      </c>
      <c r="BX144" s="295">
        <f t="shared" si="111"/>
        <v>7.0186969954378471</v>
      </c>
      <c r="BY144" s="295">
        <f t="shared" si="111"/>
        <v>6.7057290342340306</v>
      </c>
      <c r="BZ144" s="295">
        <f t="shared" si="111"/>
        <v>7.7315413276116542</v>
      </c>
      <c r="CA144" s="295">
        <f t="shared" si="111"/>
        <v>6.929751370178713</v>
      </c>
      <c r="CB144" s="295">
        <f t="shared" si="111"/>
        <v>9.363766145621728</v>
      </c>
      <c r="CC144" s="295">
        <f t="shared" si="111"/>
        <v>10.415011874944494</v>
      </c>
      <c r="CD144" s="295">
        <f t="shared" si="111"/>
        <v>11.381645236005712</v>
      </c>
      <c r="CE144" s="295">
        <f t="shared" si="111"/>
        <v>11.459307503326182</v>
      </c>
      <c r="CF144" s="295">
        <f t="shared" si="111"/>
        <v>10.040484536717075</v>
      </c>
      <c r="CG144" s="295">
        <f t="shared" si="111"/>
        <v>10.306405079669727</v>
      </c>
      <c r="CH144" s="295">
        <f t="shared" si="111"/>
        <v>10.995828282947869</v>
      </c>
      <c r="CI144" s="295">
        <f t="shared" si="111"/>
        <v>7.3831774396811225</v>
      </c>
      <c r="CJ144" s="295">
        <f t="shared" si="111"/>
        <v>6.8665800497642628</v>
      </c>
      <c r="CK144" s="295">
        <f t="shared" si="111"/>
        <v>6.0561089350537083</v>
      </c>
      <c r="CL144" s="295">
        <f t="shared" si="111"/>
        <v>7.0736571124544962</v>
      </c>
      <c r="CM144" s="295">
        <f t="shared" si="111"/>
        <v>6.9751252078661548</v>
      </c>
      <c r="CN144" s="295">
        <f t="shared" si="111"/>
        <v>7.2553181935156008</v>
      </c>
      <c r="CO144" s="295">
        <f t="shared" ref="CO144:CS144" si="112">+CO142/CO60</f>
        <v>5.6162699992620384</v>
      </c>
      <c r="CP144" s="295">
        <f t="shared" si="112"/>
        <v>6.2948799551684687</v>
      </c>
      <c r="CQ144" s="295">
        <f t="shared" si="112"/>
        <v>5.6735681884668585</v>
      </c>
      <c r="CR144" s="358">
        <f t="shared" si="112"/>
        <v>7.8955728690888511</v>
      </c>
      <c r="CS144" s="358">
        <f t="shared" si="112"/>
        <v>6.9381334178654797</v>
      </c>
      <c r="CT144" s="358">
        <f>+CT142/CT60</f>
        <v>6.7900163095988297</v>
      </c>
      <c r="CU144" s="344">
        <f>+CU142/CU60</f>
        <v>6.823891553173091</v>
      </c>
    </row>
    <row r="145" spans="1:100" x14ac:dyDescent="0.2">
      <c r="A145" s="18" t="s">
        <v>175</v>
      </c>
      <c r="B145" s="229"/>
      <c r="C145" s="157">
        <f t="shared" ref="C145:BN145" si="113">C142/C88</f>
        <v>5.0753470860655743E-2</v>
      </c>
      <c r="D145" s="157">
        <f t="shared" si="113"/>
        <v>3.9008597768460676E-2</v>
      </c>
      <c r="E145" s="157">
        <f t="shared" si="113"/>
        <v>2.9258143999776842E-2</v>
      </c>
      <c r="F145" s="157">
        <f t="shared" si="113"/>
        <v>4.6508794139569556E-2</v>
      </c>
      <c r="G145" s="157">
        <f t="shared" si="113"/>
        <v>3.7144602754710244E-2</v>
      </c>
      <c r="H145" s="157">
        <f t="shared" si="113"/>
        <v>4.1134861309357389E-2</v>
      </c>
      <c r="I145" s="157">
        <f t="shared" si="113"/>
        <v>4.7817256934414694E-2</v>
      </c>
      <c r="J145" s="157">
        <f t="shared" si="113"/>
        <v>5.3120619429787609E-2</v>
      </c>
      <c r="K145" s="157">
        <f t="shared" si="113"/>
        <v>5.2200914079134811E-2</v>
      </c>
      <c r="L145" s="157">
        <f t="shared" si="113"/>
        <v>4.4891279819803953E-2</v>
      </c>
      <c r="M145" s="157">
        <f t="shared" si="113"/>
        <v>5.0367219214712253E-2</v>
      </c>
      <c r="N145" s="157">
        <f t="shared" si="113"/>
        <v>6.5485809390536456E-2</v>
      </c>
      <c r="O145" s="157">
        <f t="shared" si="113"/>
        <v>6.667089083436821E-2</v>
      </c>
      <c r="P145" s="157">
        <f t="shared" si="113"/>
        <v>5.7066770932235715E-2</v>
      </c>
      <c r="Q145" s="157">
        <f t="shared" si="113"/>
        <v>5.2596937098294071E-2</v>
      </c>
      <c r="R145" s="157">
        <f t="shared" si="113"/>
        <v>6.5395453993757943E-2</v>
      </c>
      <c r="S145" s="157">
        <f t="shared" si="113"/>
        <v>7.7547833525690876E-2</v>
      </c>
      <c r="T145" s="157">
        <f t="shared" si="113"/>
        <v>6.7251895200783549E-2</v>
      </c>
      <c r="U145" s="157">
        <f t="shared" si="113"/>
        <v>6.567832788752552E-2</v>
      </c>
      <c r="V145" s="157">
        <f t="shared" si="113"/>
        <v>8.5319874048855479E-2</v>
      </c>
      <c r="W145" s="157">
        <f t="shared" si="113"/>
        <v>9.2082072746778904E-2</v>
      </c>
      <c r="X145" s="157">
        <f t="shared" si="113"/>
        <v>0.10076571640545806</v>
      </c>
      <c r="Y145" s="157">
        <f t="shared" si="113"/>
        <v>8.9030419150978077E-2</v>
      </c>
      <c r="Z145" s="157">
        <f t="shared" si="113"/>
        <v>7.4358410280572967E-2</v>
      </c>
      <c r="AA145" s="157">
        <f t="shared" si="113"/>
        <v>6.8066354272699914E-2</v>
      </c>
      <c r="AB145" s="157">
        <f t="shared" si="113"/>
        <v>6.7353114935595523E-2</v>
      </c>
      <c r="AC145" s="157">
        <f t="shared" si="113"/>
        <v>6.297150757473155E-2</v>
      </c>
      <c r="AD145" s="157">
        <f t="shared" si="113"/>
        <v>7.6371295758280069E-2</v>
      </c>
      <c r="AE145" s="157">
        <f t="shared" si="113"/>
        <v>7.5426749962687362E-2</v>
      </c>
      <c r="AF145" s="157">
        <f t="shared" si="113"/>
        <v>5.4670961534284655E-2</v>
      </c>
      <c r="AG145" s="157">
        <f t="shared" si="113"/>
        <v>5.4255698887600817E-2</v>
      </c>
      <c r="AH145" s="157">
        <f t="shared" si="113"/>
        <v>5.4537483905538454E-2</v>
      </c>
      <c r="AI145" s="157">
        <f t="shared" si="113"/>
        <v>6.0531396255151408E-2</v>
      </c>
      <c r="AJ145" s="157">
        <f t="shared" si="113"/>
        <v>6.7484892195767199E-2</v>
      </c>
      <c r="AK145" s="157">
        <f t="shared" si="113"/>
        <v>6.8686450809464505E-2</v>
      </c>
      <c r="AL145" s="157">
        <f t="shared" si="113"/>
        <v>7.2129942489483581E-2</v>
      </c>
      <c r="AM145" s="157">
        <f t="shared" si="113"/>
        <v>6.9007681818790065E-2</v>
      </c>
      <c r="AN145" s="157">
        <f t="shared" si="113"/>
        <v>8.2608271225509025E-2</v>
      </c>
      <c r="AO145" s="157">
        <f t="shared" si="113"/>
        <v>8.201037045057899E-2</v>
      </c>
      <c r="AP145" s="157">
        <f t="shared" si="113"/>
        <v>7.6168636030225056E-2</v>
      </c>
      <c r="AQ145" s="157">
        <f t="shared" si="113"/>
        <v>7.5150349553281273E-2</v>
      </c>
      <c r="AR145" s="157">
        <f t="shared" si="113"/>
        <v>6.256931115731508E-2</v>
      </c>
      <c r="AS145" s="157">
        <f t="shared" si="113"/>
        <v>6.3619621203422724E-2</v>
      </c>
      <c r="AT145" s="157">
        <f t="shared" si="113"/>
        <v>6.0550510673074417E-2</v>
      </c>
      <c r="AU145" s="157">
        <f t="shared" si="113"/>
        <v>6.1630488111986494E-2</v>
      </c>
      <c r="AV145" s="157">
        <f t="shared" si="113"/>
        <v>5.0342841913976644E-2</v>
      </c>
      <c r="AW145" s="157">
        <f t="shared" si="113"/>
        <v>4.9191705545355041E-2</v>
      </c>
      <c r="AX145" s="157">
        <f t="shared" si="113"/>
        <v>4.2821027986105625E-2</v>
      </c>
      <c r="AY145" s="157">
        <f t="shared" si="113"/>
        <v>5.2387232382611219E-2</v>
      </c>
      <c r="AZ145" s="157">
        <f t="shared" si="113"/>
        <v>4.0565075516587196E-2</v>
      </c>
      <c r="BA145" s="157">
        <f t="shared" si="113"/>
        <v>5.1514505722156489E-2</v>
      </c>
      <c r="BB145" s="157">
        <f t="shared" si="113"/>
        <v>5.2093931535466716E-2</v>
      </c>
      <c r="BC145" s="157">
        <f t="shared" si="113"/>
        <v>5.698298188092156E-2</v>
      </c>
      <c r="BD145" s="157">
        <f t="shared" si="113"/>
        <v>6.0056673079923038E-2</v>
      </c>
      <c r="BE145" s="157">
        <f t="shared" si="113"/>
        <v>5.0830753952876367E-2</v>
      </c>
      <c r="BF145" s="157">
        <f t="shared" si="113"/>
        <v>5.0581499202378422E-2</v>
      </c>
      <c r="BG145" s="157">
        <f t="shared" si="113"/>
        <v>4.9852400089057426E-2</v>
      </c>
      <c r="BH145" s="157">
        <f t="shared" si="113"/>
        <v>5.0328474497980544E-2</v>
      </c>
      <c r="BI145" s="157">
        <f t="shared" si="113"/>
        <v>5.7072870558224451E-2</v>
      </c>
      <c r="BJ145" s="157">
        <f t="shared" si="113"/>
        <v>5.4412413224062275E-2</v>
      </c>
      <c r="BK145" s="157">
        <f t="shared" si="113"/>
        <v>5.4300183764395223E-2</v>
      </c>
      <c r="BL145" s="157">
        <f t="shared" si="113"/>
        <v>4.681831644960871E-2</v>
      </c>
      <c r="BM145" s="157">
        <f t="shared" si="113"/>
        <v>4.3898287352231502E-2</v>
      </c>
      <c r="BN145" s="157">
        <f t="shared" si="113"/>
        <v>4.604136493759016E-2</v>
      </c>
      <c r="BO145" s="157">
        <f t="shared" ref="BO145:CP145" si="114">BO142/BO88</f>
        <v>3.9414562870881922E-2</v>
      </c>
      <c r="BP145" s="157">
        <f t="shared" si="114"/>
        <v>4.0605831335428326E-2</v>
      </c>
      <c r="BQ145" s="157">
        <f t="shared" si="114"/>
        <v>3.6425325329742103E-2</v>
      </c>
      <c r="BR145" s="157">
        <f t="shared" si="114"/>
        <v>3.6481332214552631E-2</v>
      </c>
      <c r="BS145" s="157">
        <f t="shared" si="114"/>
        <v>4.5733898553967325E-2</v>
      </c>
      <c r="BT145" s="157">
        <f t="shared" si="114"/>
        <v>4.4924553449044904E-2</v>
      </c>
      <c r="BU145" s="157">
        <f t="shared" si="114"/>
        <v>3.7024602025702333E-2</v>
      </c>
      <c r="BV145" s="157">
        <f t="shared" si="114"/>
        <v>4.2748419445560605E-2</v>
      </c>
      <c r="BW145" s="157">
        <f t="shared" si="114"/>
        <v>3.5984781390881022E-2</v>
      </c>
      <c r="BX145" s="157">
        <f t="shared" si="114"/>
        <v>2.9869721713690643E-2</v>
      </c>
      <c r="BY145" s="157">
        <f t="shared" si="114"/>
        <v>3.2707960735361509E-2</v>
      </c>
      <c r="BZ145" s="157">
        <f t="shared" si="114"/>
        <v>3.6888917348488003E-2</v>
      </c>
      <c r="CA145" s="157">
        <f t="shared" si="114"/>
        <v>3.4586436933566986E-2</v>
      </c>
      <c r="CB145" s="157">
        <f t="shared" si="114"/>
        <v>4.5764405589311392E-2</v>
      </c>
      <c r="CC145" s="157">
        <f t="shared" si="114"/>
        <v>5.2978069410456019E-2</v>
      </c>
      <c r="CD145" s="157">
        <f t="shared" si="114"/>
        <v>6.328432201287118E-2</v>
      </c>
      <c r="CE145" s="157">
        <f t="shared" si="114"/>
        <v>6.4308989907040814E-2</v>
      </c>
      <c r="CF145" s="157">
        <f t="shared" si="114"/>
        <v>5.7957957784346481E-2</v>
      </c>
      <c r="CG145" s="157">
        <f t="shared" si="114"/>
        <v>6.55319772480394E-2</v>
      </c>
      <c r="CH145" s="157">
        <f t="shared" si="114"/>
        <v>6.383519537196912E-2</v>
      </c>
      <c r="CI145" s="157">
        <f t="shared" si="114"/>
        <v>5.081444578689371E-2</v>
      </c>
      <c r="CJ145" s="157">
        <f t="shared" si="114"/>
        <v>4.0914787712161206E-2</v>
      </c>
      <c r="CK145" s="157">
        <f t="shared" si="114"/>
        <v>4.1838206988175121E-2</v>
      </c>
      <c r="CL145" s="157">
        <f t="shared" si="114"/>
        <v>5.2752556496061566E-2</v>
      </c>
      <c r="CM145" s="157">
        <f t="shared" si="114"/>
        <v>5.3174577801534173E-2</v>
      </c>
      <c r="CN145" s="157">
        <f t="shared" si="114"/>
        <v>4.6652797026508791E-2</v>
      </c>
      <c r="CO145" s="157">
        <f t="shared" si="114"/>
        <v>4.1552131824938575E-2</v>
      </c>
      <c r="CP145" s="157">
        <f t="shared" si="114"/>
        <v>4.6967786081585694E-2</v>
      </c>
      <c r="CQ145" s="157">
        <f>CQ142/CQ88</f>
        <v>4.2269979720334819E-2</v>
      </c>
      <c r="CR145" s="359">
        <f>CR142/CR88</f>
        <v>4.5304069920318456E-2</v>
      </c>
      <c r="CS145" s="359">
        <f>CS142/CS88</f>
        <v>4.2635312007743904E-2</v>
      </c>
      <c r="CT145" s="359">
        <f>CT142/CT88</f>
        <v>4.4933709626734195E-2</v>
      </c>
      <c r="CU145" s="344">
        <f>CU142/CU88</f>
        <v>5.1564133878483978E-2</v>
      </c>
    </row>
    <row r="146" spans="1:100" ht="15" x14ac:dyDescent="0.2">
      <c r="A146" s="18" t="s">
        <v>209</v>
      </c>
      <c r="B146" s="229"/>
      <c r="C146" s="19">
        <v>104947855</v>
      </c>
      <c r="D146" s="19">
        <v>104947855</v>
      </c>
      <c r="E146" s="19">
        <v>127077390</v>
      </c>
      <c r="F146" s="19">
        <v>133114370</v>
      </c>
      <c r="G146" s="19">
        <v>133114370</v>
      </c>
      <c r="H146" s="19">
        <v>133114370</v>
      </c>
      <c r="I146" s="19">
        <v>133114370</v>
      </c>
      <c r="J146" s="19">
        <v>133114370</v>
      </c>
      <c r="K146" s="19">
        <v>133114370</v>
      </c>
      <c r="L146" s="19">
        <v>133114370</v>
      </c>
      <c r="M146" s="19">
        <v>133114370</v>
      </c>
      <c r="N146" s="19">
        <v>133114370</v>
      </c>
      <c r="O146" s="19">
        <v>133114370</v>
      </c>
      <c r="P146" s="19">
        <v>133114370</v>
      </c>
      <c r="Q146" s="19">
        <v>133114370</v>
      </c>
      <c r="R146" s="19">
        <v>133114370</v>
      </c>
      <c r="S146" s="19">
        <v>137328370</v>
      </c>
      <c r="T146" s="19">
        <v>137328370</v>
      </c>
      <c r="U146" s="19">
        <v>137328370</v>
      </c>
      <c r="V146" s="19">
        <v>137328370</v>
      </c>
      <c r="W146" s="19">
        <v>137328370</v>
      </c>
      <c r="X146" s="19">
        <v>137328370</v>
      </c>
      <c r="Y146" s="19">
        <v>137328370</v>
      </c>
      <c r="Z146" s="19">
        <v>137328370</v>
      </c>
      <c r="AA146" s="19">
        <v>137328370</v>
      </c>
      <c r="AB146" s="19">
        <v>137328370</v>
      </c>
      <c r="AC146" s="20">
        <v>137328370</v>
      </c>
      <c r="AD146" s="20">
        <v>135800000</v>
      </c>
      <c r="AE146" s="20">
        <v>135800000</v>
      </c>
      <c r="AF146" s="20">
        <v>136799225</v>
      </c>
      <c r="AG146" s="20">
        <v>137480550</v>
      </c>
      <c r="AH146" s="20">
        <v>137888050</v>
      </c>
      <c r="AI146" s="25">
        <v>137888050</v>
      </c>
      <c r="AJ146" s="19">
        <v>137888050</v>
      </c>
      <c r="AK146" s="25">
        <v>137888050</v>
      </c>
      <c r="AL146" s="19">
        <v>137888050</v>
      </c>
      <c r="AM146" s="20">
        <v>137888050</v>
      </c>
      <c r="AN146" s="19">
        <v>138728600</v>
      </c>
      <c r="AO146" s="19">
        <v>139344850</v>
      </c>
      <c r="AP146" s="19">
        <v>139787350</v>
      </c>
      <c r="AQ146" s="19">
        <v>139787350</v>
      </c>
      <c r="AR146" s="19">
        <v>142690365</v>
      </c>
      <c r="AS146" s="21">
        <v>141898910</v>
      </c>
      <c r="AT146" s="20">
        <v>141312745</v>
      </c>
      <c r="AU146" s="25">
        <v>141312745</v>
      </c>
      <c r="AV146" s="24">
        <v>144368735</v>
      </c>
      <c r="AW146" s="24">
        <v>144368735</v>
      </c>
      <c r="AX146" s="24">
        <v>144368735</v>
      </c>
      <c r="AY146" s="24">
        <v>144368735</v>
      </c>
      <c r="AZ146" s="24">
        <v>144368735</v>
      </c>
      <c r="BA146" s="24">
        <v>144368735</v>
      </c>
      <c r="BB146" s="24">
        <v>144368735</v>
      </c>
      <c r="BC146" s="24">
        <v>144368735</v>
      </c>
      <c r="BD146" s="24">
        <v>144368735</v>
      </c>
      <c r="BE146" s="24">
        <v>144368735</v>
      </c>
      <c r="BF146" s="24">
        <v>144368735</v>
      </c>
      <c r="BG146" s="24">
        <v>144368735</v>
      </c>
      <c r="BH146" s="24">
        <v>146720440</v>
      </c>
      <c r="BI146" s="20">
        <v>146720440</v>
      </c>
      <c r="BJ146" s="19">
        <v>146720440</v>
      </c>
      <c r="BK146" s="19">
        <v>146720440</v>
      </c>
      <c r="BL146" s="19">
        <v>149194610</v>
      </c>
      <c r="BM146" s="19">
        <v>149194610</v>
      </c>
      <c r="BN146" s="19">
        <v>149194610</v>
      </c>
      <c r="BO146" s="19">
        <v>149194610</v>
      </c>
      <c r="BP146" s="21">
        <v>149194610</v>
      </c>
      <c r="BQ146" s="19">
        <v>149981110</v>
      </c>
      <c r="BR146" s="19">
        <v>149981110</v>
      </c>
      <c r="BS146" s="19">
        <v>149981110</v>
      </c>
      <c r="BT146" s="19">
        <v>149981110</v>
      </c>
      <c r="BU146" s="19">
        <v>151364980</v>
      </c>
      <c r="BV146" s="19">
        <v>151364980</v>
      </c>
      <c r="BW146" s="20">
        <v>151364980</v>
      </c>
      <c r="BX146" s="20">
        <v>151364980</v>
      </c>
      <c r="BY146" s="20">
        <v>153786322</v>
      </c>
      <c r="BZ146" s="19">
        <v>153786322</v>
      </c>
      <c r="CA146" s="19">
        <v>153786322</v>
      </c>
      <c r="CB146" s="19">
        <v>153786322</v>
      </c>
      <c r="CC146" s="19">
        <v>154954010</v>
      </c>
      <c r="CD146" s="19">
        <v>154954010</v>
      </c>
      <c r="CE146" s="19">
        <v>154954010</v>
      </c>
      <c r="CF146" s="19">
        <v>154954010</v>
      </c>
      <c r="CG146" s="19">
        <v>155571758</v>
      </c>
      <c r="CH146" s="19">
        <v>155571758</v>
      </c>
      <c r="CI146" s="19">
        <v>155571758</v>
      </c>
      <c r="CJ146" s="19">
        <v>155571758</v>
      </c>
      <c r="CK146" s="19">
        <v>156619027</v>
      </c>
      <c r="CL146" s="19">
        <v>156619027</v>
      </c>
      <c r="CM146" s="19">
        <v>156619027</v>
      </c>
      <c r="CN146" s="19">
        <v>156619027</v>
      </c>
      <c r="CO146" s="19">
        <v>156956967</v>
      </c>
      <c r="CP146" s="19">
        <v>157236949</v>
      </c>
      <c r="CQ146" s="19">
        <v>157236949</v>
      </c>
      <c r="CR146" s="20">
        <v>157236949</v>
      </c>
      <c r="CS146" s="20">
        <v>157236949</v>
      </c>
      <c r="CT146" s="20">
        <v>157236949</v>
      </c>
      <c r="CU146" s="69">
        <v>157236949</v>
      </c>
    </row>
    <row r="147" spans="1:100" ht="15" x14ac:dyDescent="0.2">
      <c r="A147" s="23" t="s">
        <v>210</v>
      </c>
      <c r="B147" s="231"/>
      <c r="C147" s="24">
        <v>104947855</v>
      </c>
      <c r="D147" s="24">
        <v>104947855</v>
      </c>
      <c r="E147" s="24">
        <v>109801545</v>
      </c>
      <c r="F147" s="24">
        <v>114485675</v>
      </c>
      <c r="G147" s="24">
        <v>133114370</v>
      </c>
      <c r="H147" s="24">
        <v>133114370</v>
      </c>
      <c r="I147" s="24">
        <v>133114370</v>
      </c>
      <c r="J147" s="24">
        <v>133114370</v>
      </c>
      <c r="K147" s="24">
        <v>133114370</v>
      </c>
      <c r="L147" s="24">
        <v>133114370</v>
      </c>
      <c r="M147" s="24">
        <v>133114370</v>
      </c>
      <c r="N147" s="24">
        <v>133114370</v>
      </c>
      <c r="O147" s="24">
        <v>133114370</v>
      </c>
      <c r="P147" s="24">
        <v>133114370</v>
      </c>
      <c r="Q147" s="24">
        <v>133114370</v>
      </c>
      <c r="R147" s="24">
        <v>133114370</v>
      </c>
      <c r="S147" s="24">
        <v>135221370</v>
      </c>
      <c r="T147" s="24">
        <v>137328370</v>
      </c>
      <c r="U147" s="24">
        <v>137328370</v>
      </c>
      <c r="V147" s="24">
        <v>137328370</v>
      </c>
      <c r="W147" s="24">
        <v>137328370</v>
      </c>
      <c r="X147" s="24">
        <v>137328370</v>
      </c>
      <c r="Y147" s="24">
        <v>137328370</v>
      </c>
      <c r="Z147" s="24">
        <v>137328370</v>
      </c>
      <c r="AA147" s="24">
        <v>137328370</v>
      </c>
      <c r="AB147" s="24">
        <v>137328370</v>
      </c>
      <c r="AC147" s="25">
        <v>137328370</v>
      </c>
      <c r="AD147" s="25">
        <v>136565000</v>
      </c>
      <c r="AE147" s="25">
        <v>135800000</v>
      </c>
      <c r="AF147" s="25">
        <v>136299612.5</v>
      </c>
      <c r="AG147" s="25">
        <v>137139887.5</v>
      </c>
      <c r="AH147" s="25">
        <v>137684300</v>
      </c>
      <c r="AI147" s="25">
        <v>137888050</v>
      </c>
      <c r="AJ147" s="24">
        <v>137888050</v>
      </c>
      <c r="AK147" s="25">
        <v>137888050</v>
      </c>
      <c r="AL147" s="24">
        <v>137888050</v>
      </c>
      <c r="AM147" s="25">
        <v>137888050</v>
      </c>
      <c r="AN147" s="24">
        <v>138308325</v>
      </c>
      <c r="AO147" s="24">
        <v>139011650</v>
      </c>
      <c r="AP147" s="24">
        <v>139715205</v>
      </c>
      <c r="AQ147" s="24">
        <v>139787350</v>
      </c>
      <c r="AR147" s="24">
        <v>141310475</v>
      </c>
      <c r="AS147" s="232">
        <v>142425485</v>
      </c>
      <c r="AT147" s="25">
        <v>141704525</v>
      </c>
      <c r="AU147" s="25">
        <v>141312745</v>
      </c>
      <c r="AV147" s="24">
        <v>143235665</v>
      </c>
      <c r="AW147" s="24">
        <v>144368735</v>
      </c>
      <c r="AX147" s="24">
        <v>144368735</v>
      </c>
      <c r="AY147" s="24">
        <v>144368735</v>
      </c>
      <c r="AZ147" s="24">
        <v>144368735</v>
      </c>
      <c r="BA147" s="24">
        <v>144368735</v>
      </c>
      <c r="BB147" s="24">
        <v>144368735</v>
      </c>
      <c r="BC147" s="24">
        <v>144368735</v>
      </c>
      <c r="BD147" s="24">
        <v>144368735</v>
      </c>
      <c r="BE147" s="24">
        <v>144368735</v>
      </c>
      <c r="BF147" s="24">
        <v>144368735</v>
      </c>
      <c r="BG147" s="24">
        <v>144368735</v>
      </c>
      <c r="BH147" s="24">
        <v>145590258.02197802</v>
      </c>
      <c r="BI147" s="25">
        <v>146720440</v>
      </c>
      <c r="BJ147" s="24">
        <v>146720440</v>
      </c>
      <c r="BK147" s="24">
        <v>146720440</v>
      </c>
      <c r="BL147" s="24">
        <v>148073553.84615386</v>
      </c>
      <c r="BM147" s="24">
        <v>149194610</v>
      </c>
      <c r="BN147" s="19">
        <v>149194610</v>
      </c>
      <c r="BO147" s="19">
        <v>149194610</v>
      </c>
      <c r="BP147" s="21">
        <v>149194610</v>
      </c>
      <c r="BQ147" s="19">
        <v>149416257.28260869</v>
      </c>
      <c r="BR147" s="19">
        <v>149981110</v>
      </c>
      <c r="BS147" s="19">
        <v>149981110</v>
      </c>
      <c r="BT147" s="19">
        <v>149981110</v>
      </c>
      <c r="BU147" s="19">
        <v>150386710.54347825</v>
      </c>
      <c r="BV147" s="19">
        <v>151364980</v>
      </c>
      <c r="BW147" s="20">
        <v>151364980</v>
      </c>
      <c r="BX147" s="20">
        <v>151364980</v>
      </c>
      <c r="BY147" s="20">
        <v>151917677.63043478</v>
      </c>
      <c r="BZ147" s="19">
        <v>153786322</v>
      </c>
      <c r="CA147" s="19">
        <v>153786322</v>
      </c>
      <c r="CB147" s="19">
        <v>153786322</v>
      </c>
      <c r="CC147" s="19">
        <v>154065551.73913044</v>
      </c>
      <c r="CD147" s="19">
        <v>154954010</v>
      </c>
      <c r="CE147" s="19">
        <v>154954010</v>
      </c>
      <c r="CF147" s="19">
        <v>154954010</v>
      </c>
      <c r="CG147" s="19">
        <v>155115161.65217394</v>
      </c>
      <c r="CH147" s="19">
        <v>155571758</v>
      </c>
      <c r="CI147" s="19">
        <v>155571758</v>
      </c>
      <c r="CJ147" s="19">
        <v>155571758</v>
      </c>
      <c r="CK147" s="19">
        <v>155890492.04347801</v>
      </c>
      <c r="CL147" s="19">
        <v>156619027</v>
      </c>
      <c r="CM147" s="19">
        <v>156619027</v>
      </c>
      <c r="CN147" s="19">
        <v>156619027</v>
      </c>
      <c r="CO147" s="19">
        <v>156714531.78260869</v>
      </c>
      <c r="CP147" s="19">
        <v>157057891.30434784</v>
      </c>
      <c r="CQ147" s="19">
        <v>157236949</v>
      </c>
      <c r="CR147" s="20">
        <v>157236949</v>
      </c>
      <c r="CS147" s="20">
        <v>157236949</v>
      </c>
      <c r="CT147" s="20">
        <v>157236949</v>
      </c>
      <c r="CU147" s="114">
        <v>157236949</v>
      </c>
    </row>
    <row r="148" spans="1:100" ht="15" x14ac:dyDescent="0.2">
      <c r="A148" s="23" t="s">
        <v>211</v>
      </c>
      <c r="B148" s="231"/>
      <c r="C148" s="24">
        <v>110015900</v>
      </c>
      <c r="D148" s="24">
        <v>110461405</v>
      </c>
      <c r="E148" s="24">
        <v>127196390</v>
      </c>
      <c r="F148" s="24">
        <v>114735050</v>
      </c>
      <c r="G148" s="24">
        <v>133146290</v>
      </c>
      <c r="H148" s="24">
        <v>133122350</v>
      </c>
      <c r="I148" s="24">
        <v>133377230</v>
      </c>
      <c r="J148" s="24">
        <v>133517520</v>
      </c>
      <c r="K148" s="24">
        <v>133535020</v>
      </c>
      <c r="L148" s="24">
        <v>133500250</v>
      </c>
      <c r="M148" s="24">
        <v>133803365</v>
      </c>
      <c r="N148" s="24">
        <v>134693780</v>
      </c>
      <c r="O148" s="24">
        <v>135412700</v>
      </c>
      <c r="P148" s="24">
        <v>135583485</v>
      </c>
      <c r="Q148" s="24">
        <v>135474195</v>
      </c>
      <c r="R148" s="24">
        <v>135655650</v>
      </c>
      <c r="S148" s="24">
        <v>135221370</v>
      </c>
      <c r="T148" s="24">
        <v>137328370</v>
      </c>
      <c r="U148" s="24">
        <v>137435230</v>
      </c>
      <c r="V148" s="24">
        <v>137717385</v>
      </c>
      <c r="W148" s="24">
        <v>138075025</v>
      </c>
      <c r="X148" s="24">
        <v>138281645</v>
      </c>
      <c r="Y148" s="24">
        <v>138280925</v>
      </c>
      <c r="Z148" s="24">
        <v>138235875</v>
      </c>
      <c r="AA148" s="24">
        <v>138260005</v>
      </c>
      <c r="AB148" s="24">
        <v>138334905</v>
      </c>
      <c r="AC148" s="232">
        <v>138340000</v>
      </c>
      <c r="AD148" s="25">
        <v>137680000</v>
      </c>
      <c r="AE148" s="25">
        <v>136985000</v>
      </c>
      <c r="AF148" s="25">
        <v>137065000</v>
      </c>
      <c r="AG148" s="25">
        <v>137580000</v>
      </c>
      <c r="AH148" s="25">
        <v>137930000</v>
      </c>
      <c r="AI148" s="25">
        <v>137895000</v>
      </c>
      <c r="AJ148" s="24">
        <v>138075695</v>
      </c>
      <c r="AK148" s="25">
        <v>138365000</v>
      </c>
      <c r="AL148" s="24">
        <v>138699850</v>
      </c>
      <c r="AM148" s="25">
        <v>139003000</v>
      </c>
      <c r="AN148" s="24">
        <v>139806660</v>
      </c>
      <c r="AO148" s="24">
        <v>141654230</v>
      </c>
      <c r="AP148" s="24">
        <v>142059090</v>
      </c>
      <c r="AQ148" s="24">
        <v>142349395</v>
      </c>
      <c r="AR148" s="24">
        <v>142499035</v>
      </c>
      <c r="AS148" s="232">
        <v>143177410</v>
      </c>
      <c r="AT148" s="25">
        <v>142447975</v>
      </c>
      <c r="AU148" s="25">
        <v>142243180</v>
      </c>
      <c r="AV148" s="24">
        <v>143235665</v>
      </c>
      <c r="AW148" s="24">
        <v>144368735</v>
      </c>
      <c r="AX148" s="24">
        <v>144368735</v>
      </c>
      <c r="AY148" s="24">
        <v>144368735</v>
      </c>
      <c r="AZ148" s="24">
        <v>144368735</v>
      </c>
      <c r="BA148" s="24">
        <v>144368735</v>
      </c>
      <c r="BB148" s="24">
        <v>144999351.05805781</v>
      </c>
      <c r="BC148" s="24">
        <v>145631617.36662787</v>
      </c>
      <c r="BD148" s="24">
        <v>145796835.98360655</v>
      </c>
      <c r="BE148" s="24">
        <v>145794149.4922426</v>
      </c>
      <c r="BF148" s="24">
        <v>145564951.98867422</v>
      </c>
      <c r="BG148" s="24">
        <v>146209172.35725489</v>
      </c>
      <c r="BH148" s="24">
        <v>147060590.64035782</v>
      </c>
      <c r="BI148" s="232">
        <v>148168390.10583609</v>
      </c>
      <c r="BJ148" s="24">
        <v>148304625.04843402</v>
      </c>
      <c r="BK148" s="24">
        <v>148062341.65038735</v>
      </c>
      <c r="BL148" s="24">
        <v>148109198.34875873</v>
      </c>
      <c r="BM148" s="24">
        <v>149194610</v>
      </c>
      <c r="BN148" s="24">
        <v>149459608.80882767</v>
      </c>
      <c r="BO148" s="24">
        <v>149622262.98878318</v>
      </c>
      <c r="BP148" s="232">
        <v>149480204.55966979</v>
      </c>
      <c r="BQ148" s="24">
        <v>149416257.28260869</v>
      </c>
      <c r="BR148" s="24">
        <v>149981110</v>
      </c>
      <c r="BS148" s="24">
        <v>150603867.63068792</v>
      </c>
      <c r="BT148" s="24">
        <v>150597731.07820314</v>
      </c>
      <c r="BU148" s="24">
        <v>150600385.79870433</v>
      </c>
      <c r="BV148" s="24">
        <v>152052933.50225455</v>
      </c>
      <c r="BW148" s="25">
        <v>151571959.31507373</v>
      </c>
      <c r="BX148" s="25">
        <v>151364980</v>
      </c>
      <c r="BY148" s="25">
        <v>151917677.63043478</v>
      </c>
      <c r="BZ148" s="24">
        <v>153786322</v>
      </c>
      <c r="CA148" s="24">
        <v>153991914.65277171</v>
      </c>
      <c r="CB148" s="24">
        <v>155358991.41152841</v>
      </c>
      <c r="CC148" s="24">
        <v>155888241.44196388</v>
      </c>
      <c r="CD148" s="24">
        <v>157129950.34578326</v>
      </c>
      <c r="CE148" s="24">
        <v>158331791.08405057</v>
      </c>
      <c r="CF148" s="24">
        <v>158614675.48101345</v>
      </c>
      <c r="CG148" s="24">
        <v>157479972.72177443</v>
      </c>
      <c r="CH148" s="24">
        <v>158126914.80669484</v>
      </c>
      <c r="CI148" s="24">
        <v>157649940.77081606</v>
      </c>
      <c r="CJ148" s="24">
        <v>157087244.85389113</v>
      </c>
      <c r="CK148" s="24">
        <v>155890492.04347825</v>
      </c>
      <c r="CL148" s="24">
        <v>156785146.4145008</v>
      </c>
      <c r="CM148" s="24">
        <v>157297347.71223906</v>
      </c>
      <c r="CN148" s="24">
        <v>157017391.78499198</v>
      </c>
      <c r="CO148" s="24">
        <v>157057395.48871085</v>
      </c>
      <c r="CP148" s="24">
        <v>157057891.30434784</v>
      </c>
      <c r="CQ148" s="24">
        <v>157297408.54982007</v>
      </c>
      <c r="CR148" s="25">
        <v>157452791.23627254</v>
      </c>
      <c r="CS148" s="25">
        <v>157403140.03860635</v>
      </c>
      <c r="CT148" s="25">
        <v>157383915.17533386</v>
      </c>
      <c r="CU148" s="114">
        <v>157921707.8335087</v>
      </c>
    </row>
    <row r="149" spans="1:100" x14ac:dyDescent="0.2">
      <c r="A149" s="6"/>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5"/>
      <c r="AD149" s="15"/>
      <c r="AE149" s="15"/>
      <c r="AF149" s="15"/>
      <c r="AG149" s="15"/>
      <c r="AH149" s="15"/>
      <c r="AI149" s="15"/>
      <c r="AJ149" s="14"/>
      <c r="AK149" s="4"/>
      <c r="AL149" s="14"/>
      <c r="AM149" s="15"/>
      <c r="AN149" s="14"/>
      <c r="AO149" s="14"/>
      <c r="AP149" s="14"/>
      <c r="AQ149" s="14"/>
      <c r="AR149" s="14"/>
      <c r="AS149" s="4"/>
      <c r="AT149" s="15"/>
      <c r="AU149" s="15"/>
      <c r="AV149" s="14"/>
      <c r="AW149" s="14"/>
      <c r="AX149" s="14"/>
      <c r="AY149" s="14"/>
      <c r="AZ149" s="14"/>
      <c r="BA149" s="14"/>
      <c r="BB149" s="14"/>
      <c r="BC149" s="14"/>
      <c r="BD149" s="14"/>
      <c r="BE149" s="14"/>
      <c r="BF149" s="14"/>
      <c r="BG149" s="14"/>
      <c r="BH149" s="14"/>
      <c r="BI149" s="15"/>
      <c r="BJ149" s="14"/>
      <c r="BK149" s="14"/>
      <c r="BL149" s="14"/>
      <c r="BM149" s="14"/>
      <c r="BN149" s="14"/>
      <c r="BO149" s="14"/>
      <c r="BP149" s="4"/>
      <c r="BQ149" s="14"/>
      <c r="BR149" s="14"/>
      <c r="BS149" s="14"/>
      <c r="BT149" s="14"/>
      <c r="BU149" s="14"/>
      <c r="BV149" s="14"/>
      <c r="BW149" s="15"/>
      <c r="BX149" s="15"/>
      <c r="BY149" s="15"/>
      <c r="BZ149" s="14"/>
      <c r="CA149" s="14"/>
      <c r="CB149" s="14"/>
      <c r="CC149" s="14"/>
      <c r="CD149" s="14"/>
      <c r="CE149" s="14"/>
      <c r="CF149" s="14"/>
      <c r="CG149" s="14"/>
      <c r="CH149" s="14"/>
      <c r="CI149" s="14"/>
      <c r="CJ149" s="14"/>
      <c r="CK149" s="14"/>
      <c r="CL149" s="14"/>
      <c r="CM149" s="14"/>
      <c r="CN149" s="14"/>
      <c r="CO149" s="14"/>
      <c r="CP149" s="14"/>
      <c r="CQ149" s="14"/>
      <c r="CR149" s="15"/>
      <c r="CS149" s="15"/>
      <c r="CT149" s="15"/>
      <c r="CU149" s="17"/>
    </row>
    <row r="150" spans="1:100" x14ac:dyDescent="0.2">
      <c r="A150" s="135" t="s">
        <v>126</v>
      </c>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5"/>
      <c r="AC150" s="296"/>
      <c r="AD150" s="296"/>
      <c r="AE150" s="296"/>
      <c r="AF150" s="296"/>
      <c r="AG150" s="296"/>
      <c r="AH150" s="296"/>
      <c r="AI150" s="296"/>
      <c r="AJ150" s="95"/>
      <c r="AK150" s="297"/>
      <c r="AL150" s="95"/>
      <c r="AM150" s="296"/>
      <c r="AN150" s="95"/>
      <c r="AO150" s="95"/>
      <c r="AP150" s="95"/>
      <c r="AQ150" s="95"/>
      <c r="AR150" s="95"/>
      <c r="AS150" s="296"/>
      <c r="AT150" s="296"/>
      <c r="AU150" s="296"/>
      <c r="AV150" s="95"/>
      <c r="AW150" s="95"/>
      <c r="AX150" s="95"/>
      <c r="AY150" s="95"/>
      <c r="AZ150" s="95"/>
      <c r="BA150" s="95"/>
      <c r="BB150" s="95"/>
      <c r="BC150" s="95"/>
      <c r="BD150" s="95"/>
      <c r="BE150" s="95"/>
      <c r="BF150" s="95"/>
      <c r="BG150" s="95"/>
      <c r="BH150" s="95"/>
      <c r="BI150" s="296"/>
      <c r="BJ150" s="95"/>
      <c r="BK150" s="95"/>
      <c r="BL150" s="95"/>
      <c r="BM150" s="95"/>
      <c r="BN150" s="95"/>
      <c r="BO150" s="95"/>
      <c r="BP150" s="297"/>
      <c r="BQ150" s="95"/>
      <c r="BR150" s="297"/>
      <c r="BS150" s="95"/>
      <c r="BT150" s="95"/>
      <c r="BU150" s="95"/>
      <c r="BV150" s="95"/>
      <c r="BW150" s="296"/>
      <c r="BX150" s="296"/>
      <c r="BY150" s="296"/>
      <c r="BZ150" s="95"/>
      <c r="CA150" s="95"/>
      <c r="CB150" s="95"/>
      <c r="CC150" s="95"/>
      <c r="CD150" s="95"/>
      <c r="CE150" s="95"/>
      <c r="CF150" s="95"/>
      <c r="CG150" s="95"/>
      <c r="CH150" s="95"/>
      <c r="CI150" s="95"/>
      <c r="CJ150" s="95"/>
      <c r="CK150" s="95"/>
      <c r="CL150" s="95"/>
      <c r="CM150" s="95"/>
      <c r="CN150" s="95"/>
      <c r="CO150" s="95"/>
      <c r="CP150" s="95"/>
      <c r="CQ150" s="95"/>
      <c r="CR150" s="296"/>
      <c r="CS150" s="296"/>
      <c r="CT150" s="296"/>
      <c r="CU150" s="352"/>
    </row>
    <row r="151" spans="1:100" x14ac:dyDescent="0.2">
      <c r="A151" s="23" t="s">
        <v>131</v>
      </c>
      <c r="B151" s="231"/>
      <c r="C151" s="310">
        <v>6.2199999999999998E-2</v>
      </c>
      <c r="D151" s="310">
        <v>5.6599999999999998E-2</v>
      </c>
      <c r="E151" s="310">
        <v>4.9099999999999998E-2</v>
      </c>
      <c r="F151" s="310">
        <v>5.3900000000000003E-2</v>
      </c>
      <c r="G151" s="310">
        <v>4.9799999999999997E-2</v>
      </c>
      <c r="H151" s="310">
        <v>4.1700000000000001E-2</v>
      </c>
      <c r="I151" s="310">
        <v>0.05</v>
      </c>
      <c r="J151" s="310">
        <v>6.59E-2</v>
      </c>
      <c r="K151" s="310">
        <v>5.5899999999999998E-2</v>
      </c>
      <c r="L151" s="310">
        <v>6.2899999999999998E-2</v>
      </c>
      <c r="M151" s="310">
        <v>7.3700000000000002E-2</v>
      </c>
      <c r="N151" s="310">
        <v>7.8799999999999995E-2</v>
      </c>
      <c r="O151" s="310">
        <v>9.5100000000000004E-2</v>
      </c>
      <c r="P151" s="310">
        <v>7.8399999999999997E-2</v>
      </c>
      <c r="Q151" s="310">
        <v>7.7799999999999994E-2</v>
      </c>
      <c r="R151" s="310">
        <v>8.2199999999999995E-2</v>
      </c>
      <c r="S151" s="310">
        <v>8.9800000000000005E-2</v>
      </c>
      <c r="T151" s="310">
        <v>0.09</v>
      </c>
      <c r="U151" s="310">
        <v>0.1019</v>
      </c>
      <c r="V151" s="310">
        <v>9.7500000000000003E-2</v>
      </c>
      <c r="W151" s="310">
        <v>0.1077</v>
      </c>
      <c r="X151" s="310">
        <v>9.7799999999999998E-2</v>
      </c>
      <c r="Y151" s="310">
        <v>9.7199999999999995E-2</v>
      </c>
      <c r="Z151" s="310">
        <v>9.7699999999999995E-2</v>
      </c>
      <c r="AA151" s="310">
        <v>9.5000000000000001E-2</v>
      </c>
      <c r="AB151" s="310">
        <v>8.2000000000000003E-2</v>
      </c>
      <c r="AC151" s="311">
        <v>7.6999999999999999E-2</v>
      </c>
      <c r="AD151" s="311">
        <v>8.5000000000000006E-2</v>
      </c>
      <c r="AE151" s="311">
        <v>8.5999999999999993E-2</v>
      </c>
      <c r="AF151" s="311">
        <v>8.5000000000000006E-2</v>
      </c>
      <c r="AG151" s="311">
        <v>8.8999999999999996E-2</v>
      </c>
      <c r="AH151" s="311">
        <v>9.9000000000000005E-2</v>
      </c>
      <c r="AI151" s="311">
        <v>0.108</v>
      </c>
      <c r="AJ151" s="310">
        <v>0.124</v>
      </c>
      <c r="AK151" s="312">
        <v>0.125</v>
      </c>
      <c r="AL151" s="310">
        <v>0.11</v>
      </c>
      <c r="AM151" s="311">
        <v>9.8000000000000004E-2</v>
      </c>
      <c r="AN151" s="310">
        <v>8.6999999999999994E-2</v>
      </c>
      <c r="AO151" s="310">
        <v>8.5999999999999993E-2</v>
      </c>
      <c r="AP151" s="310">
        <v>9.4E-2</v>
      </c>
      <c r="AQ151" s="310">
        <v>8.5999999999999993E-2</v>
      </c>
      <c r="AR151" s="310">
        <v>7.3999999999999996E-2</v>
      </c>
      <c r="AS151" s="312">
        <v>6.2E-2</v>
      </c>
      <c r="AT151" s="311">
        <v>6.2E-2</v>
      </c>
      <c r="AU151" s="311">
        <v>6.6000000000000003E-2</v>
      </c>
      <c r="AV151" s="310">
        <v>5.6000000000000001E-2</v>
      </c>
      <c r="AW151" s="310">
        <v>6.3E-2</v>
      </c>
      <c r="AX151" s="310">
        <v>6.9000000000000006E-2</v>
      </c>
      <c r="AY151" s="310">
        <v>7.3999999999999996E-2</v>
      </c>
      <c r="AZ151" s="310">
        <v>6.2E-2</v>
      </c>
      <c r="BA151" s="310">
        <v>0.08</v>
      </c>
      <c r="BB151" s="310">
        <v>7.6999999999999999E-2</v>
      </c>
      <c r="BC151" s="310">
        <v>7.4999999999999997E-2</v>
      </c>
      <c r="BD151" s="310">
        <v>7.3999999999999996E-2</v>
      </c>
      <c r="BE151" s="310">
        <v>0.08</v>
      </c>
      <c r="BF151" s="310">
        <v>7.4999999999999997E-2</v>
      </c>
      <c r="BG151" s="310">
        <v>9.5000000000000001E-2</v>
      </c>
      <c r="BH151" s="310">
        <v>0.10299999999999999</v>
      </c>
      <c r="BI151" s="311">
        <v>0.108</v>
      </c>
      <c r="BJ151" s="310">
        <v>0.13107425719565211</v>
      </c>
      <c r="BK151" s="310">
        <v>0.11270944938492827</v>
      </c>
      <c r="BL151" s="310">
        <v>0.13043124532453723</v>
      </c>
      <c r="BM151" s="310">
        <v>0.152</v>
      </c>
      <c r="BN151" s="310">
        <v>0.14580000000000001</v>
      </c>
      <c r="BO151" s="310">
        <v>0.151</v>
      </c>
      <c r="BP151" s="312">
        <v>0.129</v>
      </c>
      <c r="BQ151" s="310">
        <v>0.14299999999999999</v>
      </c>
      <c r="BR151" s="312">
        <v>0.14352899026637769</v>
      </c>
      <c r="BS151" s="310">
        <v>0.12</v>
      </c>
      <c r="BT151" s="310">
        <v>0.109</v>
      </c>
      <c r="BU151" s="310">
        <v>0.13200000000000001</v>
      </c>
      <c r="BV151" s="313">
        <v>0.11700000000000001</v>
      </c>
      <c r="BW151" s="311">
        <v>0.1317080001324912</v>
      </c>
      <c r="BX151" s="311">
        <v>0.13300000000000001</v>
      </c>
      <c r="BY151" s="311">
        <v>0.13600000000000001</v>
      </c>
      <c r="BZ151" s="310">
        <v>0.14499999999999999</v>
      </c>
      <c r="CA151" s="310">
        <v>0.16600000000000001</v>
      </c>
      <c r="CB151" s="310">
        <v>0.17499999999999999</v>
      </c>
      <c r="CC151" s="310">
        <v>0.19907433330489485</v>
      </c>
      <c r="CD151" s="310">
        <v>0.18268989480426487</v>
      </c>
      <c r="CE151" s="310">
        <v>0.20739521370492456</v>
      </c>
      <c r="CF151" s="310">
        <v>0.19260410336855807</v>
      </c>
      <c r="CG151" s="310">
        <v>0.19657032069832722</v>
      </c>
      <c r="CH151" s="310">
        <v>0.19218770815367905</v>
      </c>
      <c r="CI151" s="310">
        <v>0.17620961520771883</v>
      </c>
      <c r="CJ151" s="310">
        <v>0.15887346338608219</v>
      </c>
      <c r="CK151" s="310">
        <v>0.18231274876005502</v>
      </c>
      <c r="CL151" s="310">
        <v>0.17619464198132126</v>
      </c>
      <c r="CM151" s="310">
        <v>0.19131881001907833</v>
      </c>
      <c r="CN151" s="310">
        <v>0.19173941161508593</v>
      </c>
      <c r="CO151" s="310">
        <v>0.19869767956627785</v>
      </c>
      <c r="CP151" s="310">
        <v>0.18270680291749289</v>
      </c>
      <c r="CQ151" s="310">
        <v>0.202805623366036</v>
      </c>
      <c r="CR151" s="311">
        <v>0.20246702105443978</v>
      </c>
      <c r="CS151" s="311">
        <v>0.22286628571186701</v>
      </c>
      <c r="CT151" s="311">
        <v>0.19854337797359345</v>
      </c>
      <c r="CU151" s="368">
        <v>0.19672907502319292</v>
      </c>
    </row>
    <row r="152" spans="1:100" x14ac:dyDescent="0.2">
      <c r="A152" s="23" t="s">
        <v>132</v>
      </c>
      <c r="B152" s="231"/>
      <c r="C152" s="67">
        <v>8.3999999999999995E-3</v>
      </c>
      <c r="D152" s="67">
        <v>6.3E-3</v>
      </c>
      <c r="E152" s="67">
        <v>7.4000000000000003E-3</v>
      </c>
      <c r="F152" s="67">
        <v>8.9999999999999993E-3</v>
      </c>
      <c r="G152" s="67">
        <v>6.4000000000000003E-3</v>
      </c>
      <c r="H152" s="67">
        <v>5.1000000000000004E-3</v>
      </c>
      <c r="I152" s="67">
        <v>9.2999999999999992E-3</v>
      </c>
      <c r="J152" s="67">
        <v>1.24E-2</v>
      </c>
      <c r="K152" s="67">
        <v>1.18E-2</v>
      </c>
      <c r="L152" s="67">
        <v>1.3599999999999999E-2</v>
      </c>
      <c r="M152" s="67">
        <v>1.54E-2</v>
      </c>
      <c r="N152" s="67">
        <v>1.83E-2</v>
      </c>
      <c r="O152" s="67">
        <v>1.9099999999999999E-2</v>
      </c>
      <c r="P152" s="67">
        <v>1.5699999999999999E-2</v>
      </c>
      <c r="Q152" s="67">
        <v>1.46E-2</v>
      </c>
      <c r="R152" s="67">
        <v>1.6E-2</v>
      </c>
      <c r="S152" s="67">
        <v>1.7299999999999999E-2</v>
      </c>
      <c r="T152" s="67">
        <v>1.8800000000000001E-2</v>
      </c>
      <c r="U152" s="67">
        <v>2.5000000000000001E-2</v>
      </c>
      <c r="V152" s="67">
        <v>2.0500000000000001E-2</v>
      </c>
      <c r="W152" s="67">
        <v>2.53E-2</v>
      </c>
      <c r="X152" s="67">
        <v>2.4799999999999999E-2</v>
      </c>
      <c r="Y152" s="67">
        <v>2.7199999999999998E-2</v>
      </c>
      <c r="Z152" s="67">
        <v>3.0700000000000002E-2</v>
      </c>
      <c r="AA152" s="67">
        <v>2.6800000000000001E-2</v>
      </c>
      <c r="AB152" s="67">
        <v>2.3400000000000001E-2</v>
      </c>
      <c r="AC152" s="320">
        <v>2.9000000000000001E-2</v>
      </c>
      <c r="AD152" s="281">
        <v>3.4000000000000002E-2</v>
      </c>
      <c r="AE152" s="281">
        <v>3.5000000000000003E-2</v>
      </c>
      <c r="AF152" s="281">
        <v>3.5999999999999997E-2</v>
      </c>
      <c r="AG152" s="281">
        <v>3.9E-2</v>
      </c>
      <c r="AH152" s="281">
        <v>4.3999999999999997E-2</v>
      </c>
      <c r="AI152" s="281">
        <v>4.8000000000000001E-2</v>
      </c>
      <c r="AJ152" s="67">
        <v>5.5E-2</v>
      </c>
      <c r="AK152" s="281">
        <v>6.2E-2</v>
      </c>
      <c r="AL152" s="67">
        <v>6.2E-2</v>
      </c>
      <c r="AM152" s="281">
        <v>5.7000000000000002E-2</v>
      </c>
      <c r="AN152" s="67">
        <v>5.2999999999999999E-2</v>
      </c>
      <c r="AO152" s="67">
        <v>5.6000000000000001E-2</v>
      </c>
      <c r="AP152" s="67">
        <v>5.5E-2</v>
      </c>
      <c r="AQ152" s="67">
        <v>5.0999999999999997E-2</v>
      </c>
      <c r="AR152" s="67">
        <v>4.2999999999999997E-2</v>
      </c>
      <c r="AS152" s="320">
        <v>4.2999999999999997E-2</v>
      </c>
      <c r="AT152" s="281">
        <v>4.7E-2</v>
      </c>
      <c r="AU152" s="281">
        <v>4.2999999999999997E-2</v>
      </c>
      <c r="AV152" s="67">
        <v>3.6999999999999998E-2</v>
      </c>
      <c r="AW152" s="67">
        <v>4.2999999999999997E-2</v>
      </c>
      <c r="AX152" s="67">
        <v>4.1000000000000002E-2</v>
      </c>
      <c r="AY152" s="67">
        <v>4.1000000000000002E-2</v>
      </c>
      <c r="AZ152" s="67">
        <v>3.3000000000000002E-2</v>
      </c>
      <c r="BA152" s="67">
        <v>4.5999999999999999E-2</v>
      </c>
      <c r="BB152" s="67">
        <v>4.2999999999999997E-2</v>
      </c>
      <c r="BC152" s="67">
        <v>4.1000000000000002E-2</v>
      </c>
      <c r="BD152" s="67">
        <v>4.2000000000000003E-2</v>
      </c>
      <c r="BE152" s="67">
        <v>4.2999999999999997E-2</v>
      </c>
      <c r="BF152" s="67">
        <v>4.2999999999999997E-2</v>
      </c>
      <c r="BG152" s="67">
        <v>4.9000000000000002E-2</v>
      </c>
      <c r="BH152" s="67">
        <v>5.2999999999999999E-2</v>
      </c>
      <c r="BI152" s="320">
        <v>6.6000000000000003E-2</v>
      </c>
      <c r="BJ152" s="67">
        <v>8.6999999999999994E-2</v>
      </c>
      <c r="BK152" s="67">
        <v>6.6004431749734846E-2</v>
      </c>
      <c r="BL152" s="67">
        <v>6.6341139228859078E-2</v>
      </c>
      <c r="BM152" s="67">
        <v>7.4999999999999997E-2</v>
      </c>
      <c r="BN152" s="67">
        <v>6.4500000000000002E-2</v>
      </c>
      <c r="BO152" s="67">
        <v>6.5000000000000002E-2</v>
      </c>
      <c r="BP152" s="320">
        <v>5.2999999999999999E-2</v>
      </c>
      <c r="BQ152" s="67">
        <v>6.3E-2</v>
      </c>
      <c r="BR152" s="67">
        <v>5.5328741604911115E-2</v>
      </c>
      <c r="BS152" s="67">
        <v>5.6000000000000001E-2</v>
      </c>
      <c r="BT152" s="67">
        <v>4.8000000000000001E-2</v>
      </c>
      <c r="BU152" s="67">
        <v>6.0999999999999999E-2</v>
      </c>
      <c r="BV152" s="67">
        <v>5.6000000000000001E-2</v>
      </c>
      <c r="BW152" s="281">
        <v>5.6834256493256012E-2</v>
      </c>
      <c r="BX152" s="281">
        <v>4.8000000000000001E-2</v>
      </c>
      <c r="BY152" s="281">
        <v>5.1999999999999998E-2</v>
      </c>
      <c r="BZ152" s="67">
        <v>0.06</v>
      </c>
      <c r="CA152" s="67">
        <v>7.5999999999999998E-2</v>
      </c>
      <c r="CB152" s="67">
        <v>8.4000000000000005E-2</v>
      </c>
      <c r="CC152" s="67">
        <v>9.5709772774082838E-2</v>
      </c>
      <c r="CD152" s="67">
        <v>8.3898503403590285E-2</v>
      </c>
      <c r="CE152" s="67">
        <v>9.2004642780004031E-2</v>
      </c>
      <c r="CF152" s="67">
        <v>8.2821048938534689E-2</v>
      </c>
      <c r="CG152" s="67">
        <v>9.4682190941010783E-2</v>
      </c>
      <c r="CH152" s="67">
        <v>8.6876378849765248E-2</v>
      </c>
      <c r="CI152" s="67">
        <v>8.3756438420782134E-2</v>
      </c>
      <c r="CJ152" s="67">
        <v>6.9874245313333291E-2</v>
      </c>
      <c r="CK152" s="67">
        <v>8.7078037577219158E-2</v>
      </c>
      <c r="CL152" s="67">
        <v>8.3355310847444311E-2</v>
      </c>
      <c r="CM152" s="67">
        <v>8.0911290265228572E-2</v>
      </c>
      <c r="CN152" s="67">
        <v>6.3494059836054356E-2</v>
      </c>
      <c r="CO152" s="67">
        <v>7.2260024466249892E-2</v>
      </c>
      <c r="CP152" s="67">
        <v>6.4249179641844581E-2</v>
      </c>
      <c r="CQ152" s="67">
        <v>7.3848253943489095E-2</v>
      </c>
      <c r="CR152" s="281">
        <v>7.0554826112022365E-2</v>
      </c>
      <c r="CS152" s="281">
        <v>8.7879450774450404E-2</v>
      </c>
      <c r="CT152" s="281">
        <v>7.4738709475504081E-2</v>
      </c>
      <c r="CU152" s="368">
        <v>7.9721374000879031E-2</v>
      </c>
    </row>
    <row r="153" spans="1:100" x14ac:dyDescent="0.2">
      <c r="A153" s="6"/>
      <c r="C153" s="118"/>
      <c r="D153" s="118"/>
      <c r="E153" s="118"/>
      <c r="F153" s="118"/>
      <c r="G153" s="118"/>
      <c r="H153" s="118"/>
      <c r="I153" s="118"/>
      <c r="J153" s="118"/>
      <c r="K153" s="118"/>
      <c r="L153" s="118"/>
      <c r="M153" s="118"/>
      <c r="N153" s="118"/>
      <c r="O153" s="118"/>
      <c r="P153" s="118"/>
      <c r="Q153" s="118"/>
      <c r="R153" s="118"/>
      <c r="S153" s="118"/>
      <c r="T153" s="118"/>
      <c r="U153" s="118"/>
      <c r="V153" s="118"/>
      <c r="W153" s="118"/>
      <c r="X153" s="118"/>
      <c r="Y153" s="118"/>
      <c r="Z153" s="118"/>
      <c r="AA153" s="118"/>
      <c r="AB153" s="118"/>
      <c r="AC153" s="119"/>
      <c r="AD153" s="119"/>
      <c r="AE153" s="119"/>
      <c r="AF153" s="119"/>
      <c r="AG153" s="119"/>
      <c r="AH153" s="119"/>
      <c r="AI153" s="119"/>
      <c r="AJ153" s="118"/>
      <c r="AK153" s="120"/>
      <c r="AL153" s="121"/>
      <c r="AM153" s="119"/>
      <c r="AN153" s="118"/>
      <c r="AO153" s="118"/>
      <c r="AP153" s="118"/>
      <c r="AQ153" s="118"/>
      <c r="AR153" s="118"/>
      <c r="AS153" s="120"/>
      <c r="AT153" s="119"/>
      <c r="AU153" s="119"/>
      <c r="AV153" s="118"/>
      <c r="AW153" s="118"/>
      <c r="AX153" s="118"/>
      <c r="AY153" s="118"/>
      <c r="AZ153" s="118"/>
      <c r="BA153" s="118"/>
      <c r="BB153" s="118"/>
      <c r="BC153" s="118"/>
      <c r="BD153" s="118"/>
      <c r="BE153" s="118"/>
      <c r="BF153" s="118"/>
      <c r="BG153" s="118"/>
      <c r="BH153" s="118"/>
      <c r="BI153" s="119"/>
      <c r="BJ153" s="118"/>
      <c r="BK153" s="118"/>
      <c r="BL153" s="118"/>
      <c r="BM153" s="118"/>
      <c r="BN153" s="118"/>
      <c r="BO153" s="118"/>
      <c r="BP153" s="120"/>
      <c r="BQ153" s="118"/>
      <c r="BR153" s="120"/>
      <c r="BS153" s="118"/>
      <c r="BT153" s="118"/>
      <c r="BU153" s="118"/>
      <c r="BV153" s="118"/>
      <c r="BW153" s="119"/>
      <c r="BX153" s="119"/>
      <c r="BY153" s="119"/>
      <c r="BZ153" s="118"/>
      <c r="CA153" s="118"/>
      <c r="CB153" s="118"/>
      <c r="CC153" s="118"/>
      <c r="CD153" s="118"/>
      <c r="CE153" s="118"/>
      <c r="CF153" s="118"/>
      <c r="CG153" s="118"/>
      <c r="CH153" s="118"/>
      <c r="CI153" s="118"/>
      <c r="CJ153" s="118"/>
      <c r="CK153" s="118"/>
      <c r="CL153" s="118"/>
      <c r="CM153" s="118"/>
      <c r="CN153" s="118"/>
      <c r="CO153" s="118"/>
      <c r="CP153" s="118"/>
      <c r="CQ153" s="118"/>
      <c r="CR153" s="119"/>
      <c r="CS153" s="119"/>
      <c r="CT153" s="119"/>
      <c r="CU153" s="368"/>
    </row>
    <row r="154" spans="1:100" ht="15" x14ac:dyDescent="0.2">
      <c r="A154" s="23" t="s">
        <v>259</v>
      </c>
      <c r="B154" s="231"/>
      <c r="C154" s="24">
        <v>36946</v>
      </c>
      <c r="D154" s="24">
        <v>54637</v>
      </c>
      <c r="E154" s="24">
        <v>48028</v>
      </c>
      <c r="F154" s="24">
        <v>6563</v>
      </c>
      <c r="G154" s="24">
        <v>44357</v>
      </c>
      <c r="H154" s="24">
        <v>54902</v>
      </c>
      <c r="I154" s="24">
        <v>38557</v>
      </c>
      <c r="J154" s="24">
        <v>41976</v>
      </c>
      <c r="K154" s="24">
        <v>46156</v>
      </c>
      <c r="L154" s="24">
        <v>50967</v>
      </c>
      <c r="M154" s="24">
        <v>50402</v>
      </c>
      <c r="N154" s="24">
        <v>28208</v>
      </c>
      <c r="O154" s="24">
        <v>43196</v>
      </c>
      <c r="P154" s="24">
        <v>48871</v>
      </c>
      <c r="Q154" s="24">
        <v>45862</v>
      </c>
      <c r="R154" s="24">
        <v>15505</v>
      </c>
      <c r="S154" s="24">
        <v>53053</v>
      </c>
      <c r="T154" s="24">
        <v>80458</v>
      </c>
      <c r="U154" s="24">
        <v>58153</v>
      </c>
      <c r="V154" s="24">
        <v>24102</v>
      </c>
      <c r="W154" s="24">
        <v>77014</v>
      </c>
      <c r="X154" s="24">
        <v>57250</v>
      </c>
      <c r="Y154" s="24">
        <v>54375</v>
      </c>
      <c r="Z154" s="24">
        <v>-6442</v>
      </c>
      <c r="AA154" s="24">
        <v>57928</v>
      </c>
      <c r="AB154" s="24">
        <v>90086</v>
      </c>
      <c r="AC154" s="25">
        <v>44577</v>
      </c>
      <c r="AD154" s="25">
        <v>38002</v>
      </c>
      <c r="AE154" s="25">
        <v>39793</v>
      </c>
      <c r="AF154" s="25">
        <v>70637</v>
      </c>
      <c r="AG154" s="25">
        <v>23217</v>
      </c>
      <c r="AH154" s="25">
        <v>48198</v>
      </c>
      <c r="AI154" s="25">
        <v>24661</v>
      </c>
      <c r="AJ154" s="24">
        <v>84178</v>
      </c>
      <c r="AK154" s="232">
        <v>36655</v>
      </c>
      <c r="AL154" s="24">
        <v>51864</v>
      </c>
      <c r="AM154" s="25">
        <v>54322</v>
      </c>
      <c r="AN154" s="24">
        <v>95289</v>
      </c>
      <c r="AO154" s="24">
        <v>47007</v>
      </c>
      <c r="AP154" s="24">
        <v>48361</v>
      </c>
      <c r="AQ154" s="24">
        <v>40463</v>
      </c>
      <c r="AR154" s="24">
        <v>92149</v>
      </c>
      <c r="AS154" s="232">
        <v>34785</v>
      </c>
      <c r="AT154" s="25">
        <v>28576</v>
      </c>
      <c r="AU154" s="25">
        <v>50904</v>
      </c>
      <c r="AV154" s="24">
        <v>86107</v>
      </c>
      <c r="AW154" s="24">
        <v>37200</v>
      </c>
      <c r="AX154" s="24">
        <v>21503</v>
      </c>
      <c r="AY154" s="24">
        <v>54168</v>
      </c>
      <c r="AZ154" s="24">
        <v>97636</v>
      </c>
      <c r="BA154" s="24">
        <v>37076</v>
      </c>
      <c r="BB154" s="24">
        <v>52469</v>
      </c>
      <c r="BC154" s="24">
        <v>48712</v>
      </c>
      <c r="BD154" s="24">
        <v>111626</v>
      </c>
      <c r="BE154" s="24">
        <v>53783</v>
      </c>
      <c r="BF154" s="24">
        <v>60471</v>
      </c>
      <c r="BG154" s="24">
        <v>41642</v>
      </c>
      <c r="BH154" s="24">
        <v>137317</v>
      </c>
      <c r="BI154" s="25">
        <v>51834</v>
      </c>
      <c r="BJ154" s="24">
        <v>57670</v>
      </c>
      <c r="BK154" s="24">
        <v>54486</v>
      </c>
      <c r="BL154" s="24">
        <v>129027</v>
      </c>
      <c r="BM154" s="24">
        <v>50772</v>
      </c>
      <c r="BN154" s="24">
        <v>41893</v>
      </c>
      <c r="BO154" s="24">
        <v>64037</v>
      </c>
      <c r="BP154" s="232">
        <v>126899</v>
      </c>
      <c r="BQ154" s="24">
        <v>68154</v>
      </c>
      <c r="BR154" s="232">
        <v>36596</v>
      </c>
      <c r="BS154" s="24">
        <v>75948</v>
      </c>
      <c r="BT154" s="24">
        <v>107770</v>
      </c>
      <c r="BU154" s="24">
        <v>71242</v>
      </c>
      <c r="BV154" s="170">
        <v>38276</v>
      </c>
      <c r="BW154" s="25">
        <v>72875</v>
      </c>
      <c r="BX154" s="25">
        <v>141081</v>
      </c>
      <c r="BY154" s="25">
        <v>55795</v>
      </c>
      <c r="BZ154" s="24">
        <v>40183</v>
      </c>
      <c r="CA154" s="24">
        <v>66533</v>
      </c>
      <c r="CB154" s="24">
        <v>170423</v>
      </c>
      <c r="CC154" s="24">
        <v>79783</v>
      </c>
      <c r="CD154" s="24">
        <v>112638</v>
      </c>
      <c r="CE154" s="24">
        <v>158618</v>
      </c>
      <c r="CF154" s="24">
        <v>226060</v>
      </c>
      <c r="CG154" s="24">
        <v>84218</v>
      </c>
      <c r="CH154" s="24">
        <v>104573</v>
      </c>
      <c r="CI154" s="24">
        <v>117576</v>
      </c>
      <c r="CJ154" s="24">
        <v>150246</v>
      </c>
      <c r="CK154" s="24">
        <v>65680</v>
      </c>
      <c r="CL154" s="24">
        <v>17650</v>
      </c>
      <c r="CM154" s="24">
        <v>102611</v>
      </c>
      <c r="CN154" s="24">
        <v>180786</v>
      </c>
      <c r="CO154" s="24">
        <v>62013</v>
      </c>
      <c r="CP154" s="24">
        <v>27772</v>
      </c>
      <c r="CQ154" s="24">
        <v>126752</v>
      </c>
      <c r="CR154" s="25">
        <v>198435</v>
      </c>
      <c r="CS154" s="25">
        <v>55740</v>
      </c>
      <c r="CT154" s="25">
        <v>76351</v>
      </c>
      <c r="CU154" s="114">
        <v>97541</v>
      </c>
    </row>
    <row r="155" spans="1:100" ht="15" x14ac:dyDescent="0.2">
      <c r="A155" s="23" t="s">
        <v>260</v>
      </c>
      <c r="B155" s="229"/>
      <c r="C155" s="269"/>
      <c r="D155" s="269"/>
      <c r="E155" s="269"/>
      <c r="F155" s="269"/>
      <c r="G155" s="269"/>
      <c r="H155" s="269"/>
      <c r="I155" s="269"/>
      <c r="J155" s="269"/>
      <c r="K155" s="75">
        <v>7.621111014819308E-3</v>
      </c>
      <c r="L155" s="75">
        <v>3.8192948378362465E-3</v>
      </c>
      <c r="M155" s="75">
        <v>1.2169477401690408E-2</v>
      </c>
      <c r="N155" s="75">
        <v>2.6276871809415771E-2</v>
      </c>
      <c r="O155" s="75">
        <v>3.2656079266598761E-2</v>
      </c>
      <c r="P155" s="75">
        <v>1.5056536596345481E-2</v>
      </c>
      <c r="Q155" s="75">
        <v>7.4806375648685183E-3</v>
      </c>
      <c r="R155" s="75">
        <v>9.1210770719122855E-2</v>
      </c>
      <c r="S155" s="75">
        <v>3.2472772510508362E-2</v>
      </c>
      <c r="T155" s="75">
        <v>9.4766586293469884E-3</v>
      </c>
      <c r="U155" s="75">
        <v>2.7884081646690626E-2</v>
      </c>
      <c r="V155" s="75">
        <v>0.10395577130528588</v>
      </c>
      <c r="W155" s="75">
        <v>3.4858194613966283E-2</v>
      </c>
      <c r="X155" s="75">
        <v>2.0192611353711795E-2</v>
      </c>
      <c r="Y155" s="75">
        <v>1.2120754022988506E-2</v>
      </c>
      <c r="Z155" s="75">
        <v>-0.27482226016764982</v>
      </c>
      <c r="AA155" s="75">
        <v>2.8934522165446761E-2</v>
      </c>
      <c r="AB155" s="75">
        <v>1.2295617521035454E-2</v>
      </c>
      <c r="AC155" s="75">
        <v>2.8122125759921034E-2</v>
      </c>
      <c r="AD155" s="75">
        <v>2.569601599915794E-2</v>
      </c>
      <c r="AE155" s="75">
        <v>7.1821677179403409E-2</v>
      </c>
      <c r="AF155" s="75">
        <v>1.95648173053782E-2</v>
      </c>
      <c r="AG155" s="75">
        <v>6.5038549338846535E-3</v>
      </c>
      <c r="AH155" s="75">
        <v>2.7428524005145442E-2</v>
      </c>
      <c r="AI155" s="75">
        <v>9.0953327115688737E-2</v>
      </c>
      <c r="AJ155" s="75">
        <v>3.5603126707690842E-2</v>
      </c>
      <c r="AK155" s="75">
        <v>9.5321238575910516E-2</v>
      </c>
      <c r="AL155" s="75">
        <v>5.946321147616844E-2</v>
      </c>
      <c r="AM155" s="75">
        <v>9.3332351533448696E-2</v>
      </c>
      <c r="AN155" s="75">
        <v>2.8408315755228831E-2</v>
      </c>
      <c r="AO155" s="75">
        <v>3.0250813708596593E-2</v>
      </c>
      <c r="AP155" s="75">
        <v>2.2807634250739232E-2</v>
      </c>
      <c r="AQ155" s="75">
        <v>0.12030744136618639</v>
      </c>
      <c r="AR155" s="75">
        <v>1.1937188683545127E-3</v>
      </c>
      <c r="AS155" s="75">
        <v>9.1131234727612476E-3</v>
      </c>
      <c r="AT155" s="75">
        <v>-4.9342105263157892E-3</v>
      </c>
      <c r="AU155" s="75">
        <v>5.1076536225051074E-2</v>
      </c>
      <c r="AV155" s="75">
        <v>6.0854518215708361E-3</v>
      </c>
      <c r="AW155" s="75">
        <v>2.8333333333333332E-2</v>
      </c>
      <c r="AX155" s="75">
        <v>6.9804213365576892E-2</v>
      </c>
      <c r="AY155" s="75">
        <v>6.4576871953921131E-2</v>
      </c>
      <c r="AZ155" s="75">
        <v>2.766397640214675E-2</v>
      </c>
      <c r="BA155" s="75">
        <v>6.6916603732873017E-2</v>
      </c>
      <c r="BB155" s="75">
        <v>4.8581066915702603E-2</v>
      </c>
      <c r="BC155" s="75">
        <v>0.1159467892921662</v>
      </c>
      <c r="BD155" s="75">
        <v>3.6039990683174171E-2</v>
      </c>
      <c r="BE155" s="75">
        <v>8.7313835226744504E-2</v>
      </c>
      <c r="BF155" s="75">
        <v>9.6537517867737926E-2</v>
      </c>
      <c r="BG155" s="75">
        <v>0.24540799570193603</v>
      </c>
      <c r="BH155" s="75">
        <v>3.0768222434221545E-2</v>
      </c>
      <c r="BI155" s="75">
        <v>9.6823437851217359E-2</v>
      </c>
      <c r="BJ155" s="75">
        <v>0.10771219464071442</v>
      </c>
      <c r="BK155" s="75">
        <v>9.0611954316705184E-2</v>
      </c>
      <c r="BL155" s="75">
        <v>7.1507581472017495E-2</v>
      </c>
      <c r="BM155" s="75">
        <v>0.12300086661939652</v>
      </c>
      <c r="BN155" s="75">
        <v>0.1532236889217769</v>
      </c>
      <c r="BO155" s="75">
        <v>0.13723087348392327</v>
      </c>
      <c r="BP155" s="75">
        <v>6.7212008820873193E-2</v>
      </c>
      <c r="BQ155" s="75">
        <v>8.3944794116853141E-2</v>
      </c>
      <c r="BR155" s="75">
        <v>0.10509033080527921</v>
      </c>
      <c r="BS155" s="75">
        <v>0.10579843920537743</v>
      </c>
      <c r="BT155" s="75">
        <v>4.432138814141226E-2</v>
      </c>
      <c r="BU155" s="75">
        <v>0.11964546054630694</v>
      </c>
      <c r="BV155" s="75">
        <v>0.16590947454102442</v>
      </c>
      <c r="BW155" s="75">
        <v>0.10998888237543733</v>
      </c>
      <c r="BX155" s="75">
        <v>5.7122927644686385E-2</v>
      </c>
      <c r="BY155" s="75">
        <v>0.18124316975141169</v>
      </c>
      <c r="BZ155" s="75">
        <v>0.17925461964437725</v>
      </c>
      <c r="CA155" s="75">
        <v>0.31572642750499752</v>
      </c>
      <c r="CB155" s="75">
        <v>0.12007393198423927</v>
      </c>
      <c r="CC155" s="75">
        <v>0.2161428576454881</v>
      </c>
      <c r="CD155" s="75">
        <v>0.17189152068316207</v>
      </c>
      <c r="CE155" s="75">
        <v>0.19793976940939859</v>
      </c>
      <c r="CF155" s="75">
        <v>0.10547943107577623</v>
      </c>
      <c r="CG155" s="75">
        <v>0.22685048512515116</v>
      </c>
      <c r="CH155" s="75">
        <v>0.17761279024748283</v>
      </c>
      <c r="CI155" s="75">
        <v>0.14335374586182467</v>
      </c>
      <c r="CJ155" s="75">
        <v>5.3184469499205078E-2</v>
      </c>
      <c r="CK155" s="75">
        <v>7.6917759934933355E-2</v>
      </c>
      <c r="CL155" s="75">
        <v>-0.47473558253287329</v>
      </c>
      <c r="CM155" s="75">
        <v>0.17028875627146026</v>
      </c>
      <c r="CN155" s="75">
        <v>8.5616061995346784E-2</v>
      </c>
      <c r="CO155" s="75">
        <v>0.34480747979738857</v>
      </c>
      <c r="CP155" s="75">
        <v>0.64991255546498439</v>
      </c>
      <c r="CQ155" s="75">
        <v>0.17855954601744811</v>
      </c>
      <c r="CR155" s="291">
        <v>9.0399420255056748E-2</v>
      </c>
      <c r="CS155" s="291">
        <v>0.39795925531958753</v>
      </c>
      <c r="CT155" s="291">
        <v>0.33573901138429929</v>
      </c>
      <c r="CU155" s="346">
        <v>0.22867746168492803</v>
      </c>
    </row>
    <row r="156" spans="1:100" ht="15" x14ac:dyDescent="0.2">
      <c r="A156" s="23" t="s">
        <v>261</v>
      </c>
      <c r="B156" s="229"/>
      <c r="C156" s="269" t="s">
        <v>49</v>
      </c>
      <c r="D156" s="269" t="s">
        <v>49</v>
      </c>
      <c r="E156" s="269" t="s">
        <v>49</v>
      </c>
      <c r="F156" s="269" t="s">
        <v>49</v>
      </c>
      <c r="G156" s="269" t="s">
        <v>49</v>
      </c>
      <c r="H156" s="269" t="s">
        <v>49</v>
      </c>
      <c r="I156" s="269" t="s">
        <v>49</v>
      </c>
      <c r="J156" s="269" t="s">
        <v>49</v>
      </c>
      <c r="K156" s="209"/>
      <c r="L156" s="209"/>
      <c r="M156" s="209"/>
      <c r="N156" s="209">
        <v>1.0817558455156404E-2</v>
      </c>
      <c r="O156" s="209">
        <v>1.7131461513083642E-2</v>
      </c>
      <c r="P156" s="209">
        <v>2.0512570527956315E-2</v>
      </c>
      <c r="Q156" s="209">
        <v>1.9446210055556558E-2</v>
      </c>
      <c r="R156" s="209">
        <v>2.5442470378143043E-2</v>
      </c>
      <c r="S156" s="209">
        <v>2.581836108542418E-2</v>
      </c>
      <c r="T156" s="209">
        <v>2.1770292182801545E-2</v>
      </c>
      <c r="U156" s="209">
        <v>2.6649822125897213E-2</v>
      </c>
      <c r="V156" s="209">
        <v>3.0645866355218154E-2</v>
      </c>
      <c r="W156" s="209">
        <v>3.1594801586804985E-2</v>
      </c>
      <c r="X156" s="209">
        <v>3.6798992236247163E-2</v>
      </c>
      <c r="Y156" s="209">
        <v>3.2928321292087559E-2</v>
      </c>
      <c r="Z156" s="209">
        <v>3.4413667623506422E-2</v>
      </c>
      <c r="AA156" s="209">
        <v>3.2257891865048953E-2</v>
      </c>
      <c r="AB156" s="209">
        <v>2.6605423915650663E-2</v>
      </c>
      <c r="AC156" s="209">
        <v>3.1199668007886157E-2</v>
      </c>
      <c r="AD156" s="209">
        <v>2.174342673021297E-2</v>
      </c>
      <c r="AE156" s="209">
        <v>2.916229560666108E-2</v>
      </c>
      <c r="AF156" s="209">
        <v>3.3522270982182183E-2</v>
      </c>
      <c r="AG156" s="209">
        <v>3.1270208390378036E-2</v>
      </c>
      <c r="AH156" s="209">
        <v>3.1416866012263192E-2</v>
      </c>
      <c r="AI156" s="209">
        <v>3.0579498899305994E-2</v>
      </c>
      <c r="AJ156" s="209">
        <v>3.7241891996848894E-2</v>
      </c>
      <c r="AK156" s="209">
        <v>5.1917477231893938E-2</v>
      </c>
      <c r="AL156" s="209">
        <v>5.9881028384965396E-2</v>
      </c>
      <c r="AM156" s="209">
        <v>6.4510018985195067E-2</v>
      </c>
      <c r="AN156" s="209">
        <v>6.0282198798975346E-2</v>
      </c>
      <c r="AO156" s="209">
        <v>4.94321520271086E-2</v>
      </c>
      <c r="AP156" s="209">
        <v>4.2052584099045227E-2</v>
      </c>
      <c r="AQ156" s="209">
        <v>4.3700242298373139E-2</v>
      </c>
      <c r="AR156" s="209">
        <v>3.2910781647512939E-2</v>
      </c>
      <c r="AS156" s="209">
        <v>2.9653593377765831E-2</v>
      </c>
      <c r="AT156" s="209">
        <v>2.6299541263337296E-2</v>
      </c>
      <c r="AU156" s="209">
        <v>1.3981609774530798E-2</v>
      </c>
      <c r="AV156" s="209">
        <v>1.6469366977421997E-2</v>
      </c>
      <c r="AW156" s="209">
        <v>1.9907587764501668E-2</v>
      </c>
      <c r="AX156" s="209">
        <v>2.9016830681504645E-2</v>
      </c>
      <c r="AY156" s="209">
        <v>3.3053905456884677E-2</v>
      </c>
      <c r="AZ156" s="209">
        <v>4.1585315452692784E-2</v>
      </c>
      <c r="BA156" s="209">
        <v>4.8392693325981659E-2</v>
      </c>
      <c r="BB156" s="209">
        <v>4.6525985191569058E-2</v>
      </c>
      <c r="BC156" s="209">
        <v>5.6716392601730448E-2</v>
      </c>
      <c r="BD156" s="209">
        <v>5.8831533157517719E-2</v>
      </c>
      <c r="BE156" s="209">
        <v>6.3453242807307103E-2</v>
      </c>
      <c r="BF156" s="209">
        <v>7.358087723961361E-2</v>
      </c>
      <c r="BG156" s="209">
        <v>9.2612943982177162E-2</v>
      </c>
      <c r="BH156" s="209">
        <v>8.5187218847731852E-2</v>
      </c>
      <c r="BI156" s="209">
        <v>8.6865338928188859E-2</v>
      </c>
      <c r="BJ156" s="209">
        <v>8.9005481117266416E-2</v>
      </c>
      <c r="BK156" s="209">
        <v>6.7680443154025632E-2</v>
      </c>
      <c r="BL156" s="209">
        <v>8.6663913697840059E-2</v>
      </c>
      <c r="BM156" s="209">
        <v>9.1179304764158864E-2</v>
      </c>
      <c r="BN156" s="209">
        <v>9.7138409494927178E-2</v>
      </c>
      <c r="BO156" s="209">
        <v>0.10736838808759347</v>
      </c>
      <c r="BP156" s="209">
        <v>0.10571538941206125</v>
      </c>
      <c r="BQ156" s="209">
        <v>9.786985859962187E-2</v>
      </c>
      <c r="BR156" s="209">
        <v>9.0920941123489071E-2</v>
      </c>
      <c r="BS156" s="209">
        <v>8.4953285670926554E-2</v>
      </c>
      <c r="BT156" s="209">
        <v>7.7577946618550456E-2</v>
      </c>
      <c r="BU156" s="209">
        <v>8.6368874271700799E-2</v>
      </c>
      <c r="BV156" s="209">
        <v>9.441483586102066E-2</v>
      </c>
      <c r="BW156" s="209">
        <v>9.5346714608279634E-2</v>
      </c>
      <c r="BX156" s="209">
        <v>9.567548707445496E-2</v>
      </c>
      <c r="BY156" s="209">
        <v>0.10563104293442542</v>
      </c>
      <c r="BZ156" s="209">
        <v>0.10773213198810076</v>
      </c>
      <c r="CA156" s="209">
        <v>0.15277292284935054</v>
      </c>
      <c r="CB156" s="209">
        <v>0.17656663828022981</v>
      </c>
      <c r="CC156" s="209">
        <v>0.18468208769546288</v>
      </c>
      <c r="CD156" s="209">
        <v>0.18183467868558398</v>
      </c>
      <c r="CE156" s="209">
        <v>0.16965035376109855</v>
      </c>
      <c r="CF156" s="209">
        <v>0.15915385965217399</v>
      </c>
      <c r="CG156" s="209">
        <v>0.16113916262187586</v>
      </c>
      <c r="CH156" s="209">
        <v>0.16203122924515528</v>
      </c>
      <c r="CI156" s="209">
        <v>0.14720898204497496</v>
      </c>
      <c r="CJ156" s="209">
        <v>0.13693020194047797</v>
      </c>
      <c r="CK156" s="209">
        <v>0.1106458360210099</v>
      </c>
      <c r="CL156" s="209">
        <v>6.1279984931450406E-2</v>
      </c>
      <c r="CM156" s="209">
        <v>6.584766458836773E-2</v>
      </c>
      <c r="CN156" s="209">
        <v>8.0780963480962087E-2</v>
      </c>
      <c r="CO156" s="209">
        <v>0.1265772824509222</v>
      </c>
      <c r="CP156" s="209">
        <v>0.19396327445779962</v>
      </c>
      <c r="CQ156" s="209">
        <v>0.19516333737473882</v>
      </c>
      <c r="CR156" s="360">
        <v>0.19279157695016719</v>
      </c>
      <c r="CS156" s="360">
        <v>0.19770738102369498</v>
      </c>
      <c r="CT156" s="360">
        <v>0.19329039814911764</v>
      </c>
      <c r="CU156" s="398">
        <v>0.20571568328845297</v>
      </c>
    </row>
    <row r="157" spans="1:100" ht="15" x14ac:dyDescent="0.2">
      <c r="A157" s="18" t="s">
        <v>263</v>
      </c>
      <c r="B157" s="229"/>
      <c r="C157" s="19">
        <v>2755648</v>
      </c>
      <c r="D157" s="19">
        <v>2865070</v>
      </c>
      <c r="E157" s="19">
        <v>2741906</v>
      </c>
      <c r="F157" s="19">
        <v>2895363</v>
      </c>
      <c r="G157" s="19">
        <v>2923363</v>
      </c>
      <c r="H157" s="19">
        <v>2815259</v>
      </c>
      <c r="I157" s="19">
        <v>2783914</v>
      </c>
      <c r="J157" s="19">
        <v>2922408</v>
      </c>
      <c r="K157" s="19">
        <v>2972448</v>
      </c>
      <c r="L157" s="19">
        <v>3144076</v>
      </c>
      <c r="M157" s="19">
        <v>3170384</v>
      </c>
      <c r="N157" s="19">
        <v>3155424</v>
      </c>
      <c r="O157" s="19">
        <v>3252844</v>
      </c>
      <c r="P157" s="19">
        <v>3228401</v>
      </c>
      <c r="Q157" s="19">
        <v>3261786</v>
      </c>
      <c r="R157" s="19">
        <v>3339338</v>
      </c>
      <c r="S157" s="19">
        <v>3513524</v>
      </c>
      <c r="T157" s="19">
        <v>3752434</v>
      </c>
      <c r="U157" s="19">
        <v>3903424</v>
      </c>
      <c r="V157" s="19">
        <v>3911037</v>
      </c>
      <c r="W157" s="19">
        <v>4083745</v>
      </c>
      <c r="X157" s="19">
        <v>3937542</v>
      </c>
      <c r="Y157" s="19">
        <v>4103449</v>
      </c>
      <c r="Z157" s="19">
        <v>4187253</v>
      </c>
      <c r="AA157" s="19">
        <v>4332498</v>
      </c>
      <c r="AB157" s="19">
        <v>4455648</v>
      </c>
      <c r="AC157" s="20">
        <v>4550206</v>
      </c>
      <c r="AD157" s="19">
        <v>4393234</v>
      </c>
      <c r="AE157" s="19">
        <v>4350174</v>
      </c>
      <c r="AF157" s="20">
        <v>4289834</v>
      </c>
      <c r="AG157" s="20">
        <v>4370976</v>
      </c>
      <c r="AH157" s="20">
        <v>4449626</v>
      </c>
      <c r="AI157" s="20">
        <v>4316589</v>
      </c>
      <c r="AJ157" s="19">
        <v>4519263</v>
      </c>
      <c r="AK157" s="19">
        <v>4660164</v>
      </c>
      <c r="AL157" s="230">
        <v>4730638</v>
      </c>
      <c r="AM157" s="20">
        <v>4923726</v>
      </c>
      <c r="AN157" s="19">
        <v>4985364</v>
      </c>
      <c r="AO157" s="19">
        <v>5166494</v>
      </c>
      <c r="AP157" s="19">
        <v>5296664</v>
      </c>
      <c r="AQ157" s="19">
        <v>5295096</v>
      </c>
      <c r="AR157" s="19">
        <v>5257185</v>
      </c>
      <c r="AS157" s="20">
        <v>5030821</v>
      </c>
      <c r="AT157" s="20">
        <v>5166735</v>
      </c>
      <c r="AU157" s="20">
        <v>5347095</v>
      </c>
      <c r="AV157" s="19">
        <v>5344741</v>
      </c>
      <c r="AW157" s="19">
        <v>5405707</v>
      </c>
      <c r="AX157" s="19">
        <v>5331927</v>
      </c>
      <c r="AY157" s="19">
        <v>5552653</v>
      </c>
      <c r="AZ157" s="19">
        <v>5637434</v>
      </c>
      <c r="BA157" s="19">
        <v>5811749</v>
      </c>
      <c r="BB157" s="19">
        <v>5939888</v>
      </c>
      <c r="BC157" s="19">
        <v>6030431</v>
      </c>
      <c r="BD157" s="19">
        <v>6324211</v>
      </c>
      <c r="BE157" s="19">
        <v>6412367</v>
      </c>
      <c r="BF157" s="19">
        <v>6584703</v>
      </c>
      <c r="BG157" s="19">
        <v>6744009</v>
      </c>
      <c r="BH157" s="19">
        <v>6773561</v>
      </c>
      <c r="BI157" s="20">
        <v>6679667</v>
      </c>
      <c r="BJ157" s="19">
        <v>6881407</v>
      </c>
      <c r="BK157" s="19">
        <v>6791325</v>
      </c>
      <c r="BL157" s="19">
        <v>6925528</v>
      </c>
      <c r="BM157" s="19">
        <v>7200061</v>
      </c>
      <c r="BN157" s="19">
        <v>7260806</v>
      </c>
      <c r="BO157" s="19">
        <v>7499751</v>
      </c>
      <c r="BP157" s="24">
        <v>7614572</v>
      </c>
      <c r="BQ157" s="19">
        <v>7732739</v>
      </c>
      <c r="BR157" s="19">
        <v>7784866</v>
      </c>
      <c r="BS157" s="19">
        <v>7841108</v>
      </c>
      <c r="BT157" s="19">
        <v>8053434</v>
      </c>
      <c r="BU157" s="19">
        <v>8245404</v>
      </c>
      <c r="BV157" s="14">
        <v>7833491</v>
      </c>
      <c r="BW157" s="15">
        <v>8276329</v>
      </c>
      <c r="BX157" s="15">
        <v>8525233</v>
      </c>
      <c r="BY157" s="15">
        <v>8681365</v>
      </c>
      <c r="BZ157" s="14">
        <v>8926444</v>
      </c>
      <c r="CA157" s="14">
        <v>8590781</v>
      </c>
      <c r="CB157" s="14">
        <v>9153590</v>
      </c>
      <c r="CC157" s="14">
        <v>9494414</v>
      </c>
      <c r="CD157" s="14">
        <v>9796996</v>
      </c>
      <c r="CE157" s="24">
        <v>10193387</v>
      </c>
      <c r="CF157" s="24">
        <v>10644315</v>
      </c>
      <c r="CG157" s="24">
        <v>10758949</v>
      </c>
      <c r="CH157" s="24">
        <v>11294220</v>
      </c>
      <c r="CI157" s="24">
        <v>10963574</v>
      </c>
      <c r="CJ157" s="24">
        <v>10091127</v>
      </c>
      <c r="CK157" s="24">
        <v>9999229</v>
      </c>
      <c r="CL157" s="24">
        <v>10276654</v>
      </c>
      <c r="CM157" s="24">
        <v>10753713</v>
      </c>
      <c r="CN157" s="24">
        <v>11125866</v>
      </c>
      <c r="CO157" s="24">
        <v>10856029</v>
      </c>
      <c r="CP157" s="24">
        <v>11327291</v>
      </c>
      <c r="CQ157" s="24">
        <v>11877161</v>
      </c>
      <c r="CR157" s="25">
        <v>12119992</v>
      </c>
      <c r="CS157" s="25">
        <v>12284381</v>
      </c>
      <c r="CT157" s="25">
        <v>12300589</v>
      </c>
      <c r="CU157" s="114">
        <v>12105776</v>
      </c>
      <c r="CV157" s="354"/>
    </row>
    <row r="158" spans="1:100" x14ac:dyDescent="0.2">
      <c r="A158" s="23" t="s">
        <v>183</v>
      </c>
      <c r="B158" s="231"/>
      <c r="C158" s="67">
        <f t="shared" ref="C158:J158" si="115">(C88)/C157</f>
        <v>2.1206627261537033E-3</v>
      </c>
      <c r="D158" s="67">
        <f t="shared" si="115"/>
        <v>2.0395662235128636E-3</v>
      </c>
      <c r="E158" s="67">
        <f t="shared" si="115"/>
        <v>3.2685292639499678E-3</v>
      </c>
      <c r="F158" s="67">
        <f t="shared" si="115"/>
        <v>2.965569429463594E-3</v>
      </c>
      <c r="G158" s="67">
        <f t="shared" si="115"/>
        <v>3.0646895373581729E-3</v>
      </c>
      <c r="H158" s="67">
        <f t="shared" si="115"/>
        <v>2.4138809253429262E-3</v>
      </c>
      <c r="I158" s="67">
        <f t="shared" si="115"/>
        <v>1.9399306156727544E-3</v>
      </c>
      <c r="J158" s="67">
        <f t="shared" si="115"/>
        <v>2.3151798106219252E-3</v>
      </c>
      <c r="K158" s="67">
        <v>2.1962032641109283E-3</v>
      </c>
      <c r="L158" s="67">
        <v>2.5275788498751303E-3</v>
      </c>
      <c r="M158" s="67">
        <v>2.9843388056462563E-3</v>
      </c>
      <c r="N158" s="67">
        <v>3.6461660936850326E-3</v>
      </c>
      <c r="O158" s="67">
        <v>4.4807251746471705E-3</v>
      </c>
      <c r="P158" s="67">
        <v>4.710876994524534E-3</v>
      </c>
      <c r="Q158" s="67">
        <v>4.7175075250185019E-3</v>
      </c>
      <c r="R158" s="67">
        <v>5.1812664665870896E-3</v>
      </c>
      <c r="S158" s="67">
        <v>5.7458266970710882E-3</v>
      </c>
      <c r="T158" s="67">
        <v>6.1492354029411304E-3</v>
      </c>
      <c r="U158" s="67">
        <v>7.017198234165696E-3</v>
      </c>
      <c r="V158" s="67">
        <v>8.1486061113714859E-3</v>
      </c>
      <c r="W158" s="67">
        <v>9.4951080442094195E-3</v>
      </c>
      <c r="X158" s="67">
        <v>9.3451447629003068E-3</v>
      </c>
      <c r="Y158" s="67">
        <v>9.5478705839892233E-3</v>
      </c>
      <c r="Z158" s="67">
        <v>1.0872211447457317E-2</v>
      </c>
      <c r="AA158" s="67">
        <v>1.1269503182690448E-2</v>
      </c>
      <c r="AB158" s="67">
        <v>1.1646072580239732E-2</v>
      </c>
      <c r="AC158" s="320">
        <v>1.1358826391596336E-2</v>
      </c>
      <c r="AD158" s="281">
        <v>1.0968685027931588E-2</v>
      </c>
      <c r="AE158" s="281">
        <v>1.0781407824146804E-2</v>
      </c>
      <c r="AF158" s="281">
        <v>1.0732583125594138E-2</v>
      </c>
      <c r="AG158" s="281">
        <v>9.2755027710058353E-3</v>
      </c>
      <c r="AH158" s="281">
        <v>8.0685662120816449E-3</v>
      </c>
      <c r="AI158" s="281">
        <v>9.0504331081787039E-3</v>
      </c>
      <c r="AJ158" s="67">
        <v>1.0873454366342477E-2</v>
      </c>
      <c r="AK158" s="281">
        <v>1.2406430331636397E-2</v>
      </c>
      <c r="AL158" s="67">
        <v>1.3618247686675666E-2</v>
      </c>
      <c r="AM158" s="281">
        <v>1.5177733285727109E-2</v>
      </c>
      <c r="AN158" s="67">
        <v>1.4619594476952937E-2</v>
      </c>
      <c r="AO158" s="67">
        <v>1.5193862607795539E-2</v>
      </c>
      <c r="AP158" s="67">
        <v>1.6215678396817316E-2</v>
      </c>
      <c r="AQ158" s="67">
        <v>1.7142843113703697E-2</v>
      </c>
      <c r="AR158" s="67">
        <v>1.6787691511712066E-2</v>
      </c>
      <c r="AS158" s="320">
        <v>1.4541960447410076E-2</v>
      </c>
      <c r="AT158" s="281">
        <v>1.4860835711527687E-2</v>
      </c>
      <c r="AU158" s="281">
        <v>1.5951839269734314E-2</v>
      </c>
      <c r="AV158" s="67">
        <v>1.523796943575002E-2</v>
      </c>
      <c r="AW158" s="67">
        <v>1.571727805447095E-2</v>
      </c>
      <c r="AX158" s="67">
        <v>1.6629822576340599E-2</v>
      </c>
      <c r="AY158" s="67">
        <v>1.7370615451748922E-2</v>
      </c>
      <c r="AZ158" s="67">
        <v>1.7297763486011544E-2</v>
      </c>
      <c r="BA158" s="67">
        <v>1.8613329653431352E-2</v>
      </c>
      <c r="BB158" s="67">
        <v>1.9502219570470016E-2</v>
      </c>
      <c r="BC158" s="67">
        <v>2.0880265440397214E-2</v>
      </c>
      <c r="BD158" s="67">
        <v>2.1285975436303436E-2</v>
      </c>
      <c r="BE158" s="67">
        <v>2.157034991914842E-2</v>
      </c>
      <c r="BF158" s="67">
        <v>2.2366342148306462E-2</v>
      </c>
      <c r="BG158" s="67">
        <v>2.580734990122344E-2</v>
      </c>
      <c r="BH158" s="67">
        <v>2.5952375714930448E-2</v>
      </c>
      <c r="BI158" s="320">
        <v>2.6440083906618676E-2</v>
      </c>
      <c r="BJ158" s="67">
        <v>2.8800679041203574E-2</v>
      </c>
      <c r="BK158" s="67">
        <v>2.880536438550798E-2</v>
      </c>
      <c r="BL158" s="67">
        <v>2.972466503636979E-2</v>
      </c>
      <c r="BM158" s="67">
        <v>3.2003617747127421E-2</v>
      </c>
      <c r="BN158" s="67">
        <v>3.293642606619706E-2</v>
      </c>
      <c r="BO158" s="67">
        <v>3.4007960007213213E-2</v>
      </c>
      <c r="BP158" s="320">
        <v>3.550414128645784E-2</v>
      </c>
      <c r="BQ158" s="67">
        <v>3.6336140021517541E-2</v>
      </c>
      <c r="BR158" s="67">
        <v>3.6343721919191954E-2</v>
      </c>
      <c r="BS158" s="67">
        <v>3.6821454314874887E-2</v>
      </c>
      <c r="BT158" s="67">
        <v>3.8138140822908589E-2</v>
      </c>
      <c r="BU158" s="67">
        <v>4.0141497375294051E-2</v>
      </c>
      <c r="BV158" s="67">
        <v>3.8294459499782815E-2</v>
      </c>
      <c r="BW158" s="281">
        <v>4.0557547374237897E-2</v>
      </c>
      <c r="BX158" s="281">
        <v>4.2143850163765692E-2</v>
      </c>
      <c r="BY158" s="281">
        <v>4.3436077044333145E-2</v>
      </c>
      <c r="BZ158" s="67">
        <v>4.5675380193084814E-2</v>
      </c>
      <c r="CA158" s="67">
        <v>4.2855796933259561E-2</v>
      </c>
      <c r="CB158" s="67">
        <v>4.8568900567701329E-2</v>
      </c>
      <c r="CC158" s="67">
        <v>5.4157348986172457E-2</v>
      </c>
      <c r="CD158" s="67">
        <v>5.8233068912860161E-2</v>
      </c>
      <c r="CE158" s="67">
        <v>6.4153811229817975E-2</v>
      </c>
      <c r="CF158" s="67">
        <v>6.7037930823515238E-2</v>
      </c>
      <c r="CG158" s="67">
        <v>6.8313823092100184E-2</v>
      </c>
      <c r="CH158" s="67">
        <v>7.1682633546579125E-2</v>
      </c>
      <c r="CI158" s="67">
        <v>6.7578224898650605E-2</v>
      </c>
      <c r="CJ158" s="67">
        <v>6.4677703789301724E-2</v>
      </c>
      <c r="CK158" s="67">
        <v>6.3999126706202725E-2</v>
      </c>
      <c r="CL158" s="67">
        <v>6.4598297882284231E-2</v>
      </c>
      <c r="CM158" s="67">
        <v>6.6556167059257265E-2</v>
      </c>
      <c r="CN158" s="67">
        <v>6.6231948907481616E-2</v>
      </c>
      <c r="CO158" s="67">
        <v>6.5901646871699665E-2</v>
      </c>
      <c r="CP158" s="67">
        <v>6.9010527339960104E-2</v>
      </c>
      <c r="CQ158" s="67">
        <v>7.2315910423736446E-2</v>
      </c>
      <c r="CR158" s="281">
        <v>7.3738158842820659E-2</v>
      </c>
      <c r="CS158" s="281">
        <v>7.5503985135381119E-2</v>
      </c>
      <c r="CT158" s="281">
        <v>7.7635429828835978E-2</v>
      </c>
      <c r="CU158" s="408">
        <v>7.6902605041238137E-2</v>
      </c>
    </row>
    <row r="159" spans="1:100" x14ac:dyDescent="0.2">
      <c r="A159" s="6"/>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5"/>
      <c r="AD159" s="15"/>
      <c r="AE159" s="15"/>
      <c r="AF159" s="15"/>
      <c r="AG159" s="15"/>
      <c r="AH159" s="15"/>
      <c r="AI159" s="15"/>
      <c r="AJ159" s="14"/>
      <c r="AK159" s="4"/>
      <c r="AL159" s="14"/>
      <c r="AM159" s="15"/>
      <c r="AN159" s="14"/>
      <c r="AO159" s="14"/>
      <c r="AP159" s="14"/>
      <c r="AQ159" s="14"/>
      <c r="AR159" s="14"/>
      <c r="AS159" s="4"/>
      <c r="AT159" s="15"/>
      <c r="AU159" s="15"/>
      <c r="AV159" s="14"/>
      <c r="AW159" s="14"/>
      <c r="AX159" s="14"/>
      <c r="AY159" s="14"/>
      <c r="AZ159" s="14"/>
      <c r="BA159" s="14"/>
      <c r="BB159" s="14"/>
      <c r="BC159" s="14"/>
      <c r="BD159" s="14"/>
      <c r="BE159" s="14"/>
      <c r="BF159" s="14"/>
      <c r="BG159" s="14"/>
      <c r="BH159" s="14"/>
      <c r="BI159" s="15"/>
      <c r="BJ159" s="14"/>
      <c r="BK159" s="14"/>
      <c r="BL159" s="14"/>
      <c r="BM159" s="14"/>
      <c r="BN159" s="14"/>
      <c r="BO159" s="14"/>
      <c r="BP159" s="4"/>
      <c r="BQ159" s="14"/>
      <c r="BR159" s="14"/>
      <c r="BS159" s="14"/>
      <c r="BT159" s="14"/>
      <c r="BU159" s="14"/>
      <c r="BV159" s="14"/>
      <c r="BW159" s="15"/>
      <c r="BX159" s="15"/>
      <c r="BY159" s="15"/>
      <c r="BZ159" s="14"/>
      <c r="CA159" s="14"/>
      <c r="CB159" s="14"/>
      <c r="CC159" s="14"/>
      <c r="CD159" s="14"/>
      <c r="CE159" s="14"/>
      <c r="CF159" s="14"/>
      <c r="CG159" s="14"/>
      <c r="CH159" s="14"/>
      <c r="CI159" s="14"/>
      <c r="CJ159" s="14"/>
      <c r="CK159" s="14"/>
      <c r="CL159" s="14"/>
      <c r="CM159" s="14"/>
      <c r="CN159" s="14"/>
      <c r="CO159" s="14"/>
      <c r="CP159" s="14"/>
      <c r="CQ159" s="14"/>
      <c r="CR159" s="15"/>
      <c r="CS159" s="15"/>
      <c r="CT159" s="15"/>
      <c r="CU159" s="368"/>
    </row>
    <row r="160" spans="1:100" x14ac:dyDescent="0.2">
      <c r="A160" s="23" t="s">
        <v>217</v>
      </c>
      <c r="B160" s="231"/>
      <c r="C160" s="24" t="s">
        <v>49</v>
      </c>
      <c r="D160" s="24" t="s">
        <v>49</v>
      </c>
      <c r="E160" s="24" t="s">
        <v>49</v>
      </c>
      <c r="F160" s="24" t="s">
        <v>49</v>
      </c>
      <c r="G160" s="24" t="s">
        <v>49</v>
      </c>
      <c r="H160" s="24" t="s">
        <v>49</v>
      </c>
      <c r="I160" s="24" t="s">
        <v>49</v>
      </c>
      <c r="J160" s="24" t="s">
        <v>49</v>
      </c>
      <c r="K160" s="24" t="s">
        <v>49</v>
      </c>
      <c r="L160" s="24" t="s">
        <v>49</v>
      </c>
      <c r="M160" s="24" t="s">
        <v>49</v>
      </c>
      <c r="N160" s="24" t="s">
        <v>49</v>
      </c>
      <c r="O160" s="24" t="s">
        <v>49</v>
      </c>
      <c r="P160" s="24" t="s">
        <v>49</v>
      </c>
      <c r="Q160" s="24" t="s">
        <v>49</v>
      </c>
      <c r="R160" s="24" t="s">
        <v>49</v>
      </c>
      <c r="S160" s="24" t="s">
        <v>49</v>
      </c>
      <c r="T160" s="24" t="s">
        <v>49</v>
      </c>
      <c r="U160" s="24" t="s">
        <v>49</v>
      </c>
      <c r="V160" s="24" t="s">
        <v>49</v>
      </c>
      <c r="W160" s="24" t="s">
        <v>49</v>
      </c>
      <c r="X160" s="24" t="s">
        <v>49</v>
      </c>
      <c r="Y160" s="24" t="s">
        <v>49</v>
      </c>
      <c r="Z160" s="24" t="s">
        <v>49</v>
      </c>
      <c r="AA160" s="24" t="s">
        <v>49</v>
      </c>
      <c r="AB160" s="24" t="s">
        <v>49</v>
      </c>
      <c r="AC160" s="25" t="s">
        <v>49</v>
      </c>
      <c r="AD160" s="25" t="s">
        <v>49</v>
      </c>
      <c r="AE160" s="25" t="s">
        <v>49</v>
      </c>
      <c r="AF160" s="25" t="s">
        <v>49</v>
      </c>
      <c r="AG160" s="25" t="s">
        <v>49</v>
      </c>
      <c r="AH160" s="25" t="s">
        <v>49</v>
      </c>
      <c r="AI160" s="25" t="s">
        <v>49</v>
      </c>
      <c r="AJ160" s="24" t="s">
        <v>49</v>
      </c>
      <c r="AK160" s="232" t="s">
        <v>49</v>
      </c>
      <c r="AL160" s="24" t="s">
        <v>49</v>
      </c>
      <c r="AM160" s="25" t="s">
        <v>49</v>
      </c>
      <c r="AN160" s="24" t="s">
        <v>49</v>
      </c>
      <c r="AO160" s="24" t="s">
        <v>49</v>
      </c>
      <c r="AP160" s="24" t="s">
        <v>49</v>
      </c>
      <c r="AQ160" s="24" t="s">
        <v>49</v>
      </c>
      <c r="AR160" s="24" t="s">
        <v>49</v>
      </c>
      <c r="AS160" s="232" t="s">
        <v>49</v>
      </c>
      <c r="AT160" s="25" t="s">
        <v>49</v>
      </c>
      <c r="AU160" s="25" t="s">
        <v>49</v>
      </c>
      <c r="AV160" s="24" t="s">
        <v>49</v>
      </c>
      <c r="AW160" s="24" t="s">
        <v>49</v>
      </c>
      <c r="AX160" s="24" t="s">
        <v>49</v>
      </c>
      <c r="AY160" s="24" t="s">
        <v>49</v>
      </c>
      <c r="AZ160" s="24" t="s">
        <v>49</v>
      </c>
      <c r="BA160" s="24" t="s">
        <v>49</v>
      </c>
      <c r="BB160" s="24" t="s">
        <v>49</v>
      </c>
      <c r="BC160" s="24" t="s">
        <v>49</v>
      </c>
      <c r="BD160" s="24" t="s">
        <v>49</v>
      </c>
      <c r="BE160" s="24" t="s">
        <v>49</v>
      </c>
      <c r="BF160" s="24" t="s">
        <v>49</v>
      </c>
      <c r="BG160" s="24" t="s">
        <v>49</v>
      </c>
      <c r="BH160" s="24" t="s">
        <v>49</v>
      </c>
      <c r="BI160" s="25" t="s">
        <v>49</v>
      </c>
      <c r="BJ160" s="24" t="s">
        <v>49</v>
      </c>
      <c r="BK160" s="24" t="s">
        <v>49</v>
      </c>
      <c r="BL160" s="24" t="s">
        <v>49</v>
      </c>
      <c r="BM160" s="24" t="s">
        <v>49</v>
      </c>
      <c r="BN160" s="24" t="s">
        <v>49</v>
      </c>
      <c r="BO160" s="24" t="s">
        <v>49</v>
      </c>
      <c r="BP160" s="232" t="s">
        <v>49</v>
      </c>
      <c r="BQ160" s="24" t="s">
        <v>49</v>
      </c>
      <c r="BR160" s="232" t="s">
        <v>49</v>
      </c>
      <c r="BS160" s="24" t="s">
        <v>49</v>
      </c>
      <c r="BT160" s="24" t="s">
        <v>49</v>
      </c>
      <c r="BU160" s="24" t="s">
        <v>49</v>
      </c>
      <c r="BV160" s="170" t="s">
        <v>49</v>
      </c>
      <c r="BW160" s="25" t="s">
        <v>49</v>
      </c>
      <c r="BX160" s="25" t="s">
        <v>49</v>
      </c>
      <c r="BY160" s="25" t="s">
        <v>49</v>
      </c>
      <c r="BZ160" s="24" t="s">
        <v>49</v>
      </c>
      <c r="CA160" s="24">
        <v>266532.29631300003</v>
      </c>
      <c r="CB160" s="24">
        <v>267489.61913100001</v>
      </c>
      <c r="CC160" s="24">
        <v>267787.144149</v>
      </c>
      <c r="CD160" s="24">
        <v>273481.091434</v>
      </c>
      <c r="CE160" s="24">
        <v>288930.33209699998</v>
      </c>
      <c r="CF160" s="24">
        <v>314624.19991999998</v>
      </c>
      <c r="CG160" s="24">
        <v>345451.14743000001</v>
      </c>
      <c r="CH160" s="24">
        <v>378637.13575700001</v>
      </c>
      <c r="CI160" s="24">
        <v>380769.41161499999</v>
      </c>
      <c r="CJ160" s="24">
        <v>372802.58162299998</v>
      </c>
      <c r="CK160" s="24">
        <v>356268.265763</v>
      </c>
      <c r="CL160" s="24">
        <v>330734.66626000003</v>
      </c>
      <c r="CM160" s="24">
        <v>326338.358931</v>
      </c>
      <c r="CN160" s="24">
        <v>319915.11945</v>
      </c>
      <c r="CO160" s="24">
        <v>326186.92954500002</v>
      </c>
      <c r="CP160" s="24">
        <v>332647.29750500002</v>
      </c>
      <c r="CQ160" s="24">
        <v>335394.344728</v>
      </c>
      <c r="CR160" s="25">
        <v>358320.636398</v>
      </c>
      <c r="CS160" s="25">
        <v>381273.6067449</v>
      </c>
      <c r="CT160" s="25">
        <v>413400.44669496099</v>
      </c>
      <c r="CU160" s="114">
        <v>420642.11807751801</v>
      </c>
    </row>
    <row r="161" spans="1:101" x14ac:dyDescent="0.2">
      <c r="A161" s="18" t="s">
        <v>185</v>
      </c>
      <c r="B161" s="229"/>
      <c r="C161" s="269" t="s">
        <v>49</v>
      </c>
      <c r="D161" s="269" t="s">
        <v>49</v>
      </c>
      <c r="E161" s="269" t="s">
        <v>49</v>
      </c>
      <c r="F161" s="269" t="s">
        <v>49</v>
      </c>
      <c r="G161" s="269" t="s">
        <v>49</v>
      </c>
      <c r="H161" s="269" t="s">
        <v>49</v>
      </c>
      <c r="I161" s="269" t="s">
        <v>49</v>
      </c>
      <c r="J161" s="269" t="s">
        <v>49</v>
      </c>
      <c r="K161" s="269" t="s">
        <v>49</v>
      </c>
      <c r="L161" s="269" t="s">
        <v>49</v>
      </c>
      <c r="M161" s="269" t="s">
        <v>49</v>
      </c>
      <c r="N161" s="269" t="s">
        <v>49</v>
      </c>
      <c r="O161" s="269" t="s">
        <v>49</v>
      </c>
      <c r="P161" s="269" t="s">
        <v>49</v>
      </c>
      <c r="Q161" s="269" t="s">
        <v>49</v>
      </c>
      <c r="R161" s="269" t="s">
        <v>49</v>
      </c>
      <c r="S161" s="269" t="s">
        <v>49</v>
      </c>
      <c r="T161" s="269" t="s">
        <v>49</v>
      </c>
      <c r="U161" s="269" t="s">
        <v>49</v>
      </c>
      <c r="V161" s="269" t="s">
        <v>49</v>
      </c>
      <c r="W161" s="269" t="s">
        <v>49</v>
      </c>
      <c r="X161" s="269" t="s">
        <v>49</v>
      </c>
      <c r="Y161" s="269" t="s">
        <v>49</v>
      </c>
      <c r="Z161" s="269" t="s">
        <v>49</v>
      </c>
      <c r="AA161" s="269" t="s">
        <v>49</v>
      </c>
      <c r="AB161" s="269" t="s">
        <v>49</v>
      </c>
      <c r="AC161" s="269" t="s">
        <v>49</v>
      </c>
      <c r="AD161" s="269" t="s">
        <v>49</v>
      </c>
      <c r="AE161" s="269" t="s">
        <v>49</v>
      </c>
      <c r="AF161" s="269" t="s">
        <v>49</v>
      </c>
      <c r="AG161" s="269" t="s">
        <v>49</v>
      </c>
      <c r="AH161" s="269" t="s">
        <v>49</v>
      </c>
      <c r="AI161" s="269" t="s">
        <v>49</v>
      </c>
      <c r="AJ161" s="269" t="s">
        <v>49</v>
      </c>
      <c r="AK161" s="269" t="s">
        <v>49</v>
      </c>
      <c r="AL161" s="269" t="s">
        <v>49</v>
      </c>
      <c r="AM161" s="269" t="s">
        <v>49</v>
      </c>
      <c r="AN161" s="269" t="s">
        <v>49</v>
      </c>
      <c r="AO161" s="269" t="s">
        <v>49</v>
      </c>
      <c r="AP161" s="269" t="s">
        <v>49</v>
      </c>
      <c r="AQ161" s="269" t="s">
        <v>49</v>
      </c>
      <c r="AR161" s="269" t="s">
        <v>49</v>
      </c>
      <c r="AS161" s="269" t="s">
        <v>49</v>
      </c>
      <c r="AT161" s="269" t="s">
        <v>49</v>
      </c>
      <c r="AU161" s="269" t="s">
        <v>49</v>
      </c>
      <c r="AV161" s="269" t="s">
        <v>49</v>
      </c>
      <c r="AW161" s="269" t="s">
        <v>49</v>
      </c>
      <c r="AX161" s="269" t="s">
        <v>49</v>
      </c>
      <c r="AY161" s="269" t="s">
        <v>49</v>
      </c>
      <c r="AZ161" s="269" t="s">
        <v>49</v>
      </c>
      <c r="BA161" s="269" t="s">
        <v>49</v>
      </c>
      <c r="BB161" s="269" t="s">
        <v>49</v>
      </c>
      <c r="BC161" s="269" t="s">
        <v>49</v>
      </c>
      <c r="BD161" s="269" t="s">
        <v>49</v>
      </c>
      <c r="BE161" s="269" t="s">
        <v>49</v>
      </c>
      <c r="BF161" s="269" t="s">
        <v>49</v>
      </c>
      <c r="BG161" s="269" t="s">
        <v>49</v>
      </c>
      <c r="BH161" s="269" t="s">
        <v>49</v>
      </c>
      <c r="BI161" s="269" t="s">
        <v>49</v>
      </c>
      <c r="BJ161" s="269" t="s">
        <v>49</v>
      </c>
      <c r="BK161" s="269" t="s">
        <v>49</v>
      </c>
      <c r="BL161" s="269" t="s">
        <v>49</v>
      </c>
      <c r="BM161" s="269" t="s">
        <v>49</v>
      </c>
      <c r="BN161" s="269" t="s">
        <v>49</v>
      </c>
      <c r="BO161" s="269" t="s">
        <v>49</v>
      </c>
      <c r="BP161" s="269" t="s">
        <v>49</v>
      </c>
      <c r="BQ161" s="269" t="s">
        <v>49</v>
      </c>
      <c r="BR161" s="269" t="s">
        <v>49</v>
      </c>
      <c r="BS161" s="269" t="s">
        <v>49</v>
      </c>
      <c r="BT161" s="269" t="s">
        <v>49</v>
      </c>
      <c r="BU161" s="269" t="s">
        <v>49</v>
      </c>
      <c r="BV161" s="269" t="s">
        <v>49</v>
      </c>
      <c r="BW161" s="269" t="s">
        <v>49</v>
      </c>
      <c r="BX161" s="269" t="s">
        <v>49</v>
      </c>
      <c r="BY161" s="54" t="s">
        <v>49</v>
      </c>
      <c r="BZ161" s="284" t="s">
        <v>49</v>
      </c>
      <c r="CA161" s="94">
        <v>9.5000000000000001E-2</v>
      </c>
      <c r="CB161" s="94">
        <v>0.1017</v>
      </c>
      <c r="CC161" s="94">
        <v>0.109</v>
      </c>
      <c r="CD161" s="94">
        <v>0.11899999999999999</v>
      </c>
      <c r="CE161" s="70">
        <v>0.11899999999999999</v>
      </c>
      <c r="CF161" s="70">
        <v>0.12807866377883301</v>
      </c>
      <c r="CG161" s="70">
        <v>0.1231940583252038</v>
      </c>
      <c r="CH161" s="70">
        <v>0.12024333150517789</v>
      </c>
      <c r="CI161" s="70">
        <v>0.11856998781080499</v>
      </c>
      <c r="CJ161" s="70">
        <v>0.1057683906381171</v>
      </c>
      <c r="CK161" s="70">
        <v>0.10355244633419562</v>
      </c>
      <c r="CL161" s="70">
        <v>9.6455766974005389E-2</v>
      </c>
      <c r="CM161" s="70">
        <v>8.9360760860374047E-2</v>
      </c>
      <c r="CN161" s="70">
        <v>9.1237015409526001E-2</v>
      </c>
      <c r="CO161" s="70">
        <v>9.0838004399291197E-2</v>
      </c>
      <c r="CP161" s="70">
        <v>9.2166033429263522E-2</v>
      </c>
      <c r="CQ161" s="70">
        <v>9.4914571892429384E-2</v>
      </c>
      <c r="CR161" s="70">
        <v>9.2973525415367186E-2</v>
      </c>
      <c r="CS161" s="70">
        <v>9.3581730019599019E-2</v>
      </c>
      <c r="CT161" s="70">
        <v>9.4730045344862332E-2</v>
      </c>
      <c r="CU161" s="368">
        <v>0.10635760439175844</v>
      </c>
    </row>
    <row r="162" spans="1:101" ht="15" x14ac:dyDescent="0.2">
      <c r="A162" s="18" t="s">
        <v>271</v>
      </c>
      <c r="B162" s="229"/>
      <c r="C162" s="269" t="s">
        <v>49</v>
      </c>
      <c r="D162" s="269" t="s">
        <v>49</v>
      </c>
      <c r="E162" s="269" t="s">
        <v>49</v>
      </c>
      <c r="F162" s="269" t="s">
        <v>49</v>
      </c>
      <c r="G162" s="269" t="s">
        <v>49</v>
      </c>
      <c r="H162" s="269" t="s">
        <v>49</v>
      </c>
      <c r="I162" s="269" t="s">
        <v>49</v>
      </c>
      <c r="J162" s="269" t="s">
        <v>49</v>
      </c>
      <c r="K162" s="269" t="s">
        <v>49</v>
      </c>
      <c r="L162" s="269" t="s">
        <v>49</v>
      </c>
      <c r="M162" s="269" t="s">
        <v>49</v>
      </c>
      <c r="N162" s="269" t="s">
        <v>49</v>
      </c>
      <c r="O162" s="269" t="s">
        <v>49</v>
      </c>
      <c r="P162" s="269" t="s">
        <v>49</v>
      </c>
      <c r="Q162" s="269" t="s">
        <v>49</v>
      </c>
      <c r="R162" s="269" t="s">
        <v>49</v>
      </c>
      <c r="S162" s="269" t="s">
        <v>49</v>
      </c>
      <c r="T162" s="269" t="s">
        <v>49</v>
      </c>
      <c r="U162" s="269" t="s">
        <v>49</v>
      </c>
      <c r="V162" s="269" t="s">
        <v>49</v>
      </c>
      <c r="W162" s="269" t="s">
        <v>49</v>
      </c>
      <c r="X162" s="269" t="s">
        <v>49</v>
      </c>
      <c r="Y162" s="269" t="s">
        <v>49</v>
      </c>
      <c r="Z162" s="269" t="s">
        <v>49</v>
      </c>
      <c r="AA162" s="269" t="s">
        <v>49</v>
      </c>
      <c r="AB162" s="269" t="s">
        <v>49</v>
      </c>
      <c r="AC162" s="269" t="s">
        <v>49</v>
      </c>
      <c r="AD162" s="269" t="s">
        <v>49</v>
      </c>
      <c r="AE162" s="269" t="s">
        <v>49</v>
      </c>
      <c r="AF162" s="269" t="s">
        <v>49</v>
      </c>
      <c r="AG162" s="269" t="s">
        <v>49</v>
      </c>
      <c r="AH162" s="269" t="s">
        <v>49</v>
      </c>
      <c r="AI162" s="269" t="s">
        <v>49</v>
      </c>
      <c r="AJ162" s="269" t="s">
        <v>49</v>
      </c>
      <c r="AK162" s="269" t="s">
        <v>49</v>
      </c>
      <c r="AL162" s="269" t="s">
        <v>49</v>
      </c>
      <c r="AM162" s="269" t="s">
        <v>49</v>
      </c>
      <c r="AN162" s="269" t="s">
        <v>49</v>
      </c>
      <c r="AO162" s="269" t="s">
        <v>49</v>
      </c>
      <c r="AP162" s="269" t="s">
        <v>49</v>
      </c>
      <c r="AQ162" s="269" t="s">
        <v>49</v>
      </c>
      <c r="AR162" s="269" t="s">
        <v>49</v>
      </c>
      <c r="AS162" s="269" t="s">
        <v>49</v>
      </c>
      <c r="AT162" s="269" t="s">
        <v>49</v>
      </c>
      <c r="AU162" s="269" t="s">
        <v>49</v>
      </c>
      <c r="AV162" s="269" t="s">
        <v>49</v>
      </c>
      <c r="AW162" s="269" t="s">
        <v>49</v>
      </c>
      <c r="AX162" s="269" t="s">
        <v>49</v>
      </c>
      <c r="AY162" s="269" t="s">
        <v>49</v>
      </c>
      <c r="AZ162" s="269" t="s">
        <v>49</v>
      </c>
      <c r="BA162" s="269" t="s">
        <v>49</v>
      </c>
      <c r="BB162" s="269" t="s">
        <v>49</v>
      </c>
      <c r="BC162" s="269" t="s">
        <v>49</v>
      </c>
      <c r="BD162" s="269" t="s">
        <v>49</v>
      </c>
      <c r="BE162" s="269" t="s">
        <v>49</v>
      </c>
      <c r="BF162" s="269" t="s">
        <v>49</v>
      </c>
      <c r="BG162" s="269" t="s">
        <v>49</v>
      </c>
      <c r="BH162" s="269" t="s">
        <v>49</v>
      </c>
      <c r="BI162" s="269" t="s">
        <v>49</v>
      </c>
      <c r="BJ162" s="269" t="s">
        <v>49</v>
      </c>
      <c r="BK162" s="269" t="s">
        <v>49</v>
      </c>
      <c r="BL162" s="269" t="s">
        <v>49</v>
      </c>
      <c r="BM162" s="269" t="s">
        <v>49</v>
      </c>
      <c r="BN162" s="269" t="s">
        <v>49</v>
      </c>
      <c r="BO162" s="269" t="s">
        <v>49</v>
      </c>
      <c r="BP162" s="269" t="s">
        <v>49</v>
      </c>
      <c r="BQ162" s="269" t="s">
        <v>49</v>
      </c>
      <c r="BR162" s="269" t="s">
        <v>49</v>
      </c>
      <c r="BS162" s="269" t="s">
        <v>49</v>
      </c>
      <c r="BT162" s="269" t="s">
        <v>49</v>
      </c>
      <c r="BU162" s="269" t="s">
        <v>49</v>
      </c>
      <c r="BV162" s="269" t="s">
        <v>49</v>
      </c>
      <c r="BW162" s="269" t="s">
        <v>49</v>
      </c>
      <c r="BX162" s="269" t="s">
        <v>49</v>
      </c>
      <c r="BY162" s="19" t="s">
        <v>49</v>
      </c>
      <c r="BZ162" s="19" t="s">
        <v>49</v>
      </c>
      <c r="CA162" s="19">
        <v>35624.035891</v>
      </c>
      <c r="CB162" s="19">
        <v>35896.219169000004</v>
      </c>
      <c r="CC162" s="19">
        <v>35755.592536839999</v>
      </c>
      <c r="CD162" s="19">
        <v>35988.145469150004</v>
      </c>
      <c r="CE162" s="24">
        <v>36198.279057029999</v>
      </c>
      <c r="CF162" s="24">
        <v>36774.297757</v>
      </c>
      <c r="CG162" s="24">
        <v>37904.213987000003</v>
      </c>
      <c r="CH162" s="24">
        <v>39351.465799999998</v>
      </c>
      <c r="CI162" s="24">
        <v>40268.356817</v>
      </c>
      <c r="CJ162" s="24">
        <v>40902.868225999999</v>
      </c>
      <c r="CK162" s="24">
        <v>41734.357340000002</v>
      </c>
      <c r="CL162" s="24">
        <v>41796.138629000001</v>
      </c>
      <c r="CM162" s="24">
        <v>42407.022919000003</v>
      </c>
      <c r="CN162" s="24">
        <v>42971.645968999997</v>
      </c>
      <c r="CO162" s="24">
        <v>43528.597505999998</v>
      </c>
      <c r="CP162" s="24">
        <v>44282.848711999999</v>
      </c>
      <c r="CQ162" s="24">
        <v>45127.537017000002</v>
      </c>
      <c r="CR162" s="25">
        <v>46325.563136999997</v>
      </c>
      <c r="CS162" s="25">
        <v>47371.089881</v>
      </c>
      <c r="CT162" s="25">
        <v>47594.606176000001</v>
      </c>
      <c r="CU162" s="114">
        <v>48170.830238009999</v>
      </c>
    </row>
    <row r="163" spans="1:101" x14ac:dyDescent="0.2">
      <c r="A163" s="7" t="s">
        <v>185</v>
      </c>
      <c r="B163" s="298"/>
      <c r="C163" s="299" t="s">
        <v>49</v>
      </c>
      <c r="D163" s="299" t="s">
        <v>49</v>
      </c>
      <c r="E163" s="299" t="s">
        <v>49</v>
      </c>
      <c r="F163" s="299" t="s">
        <v>49</v>
      </c>
      <c r="G163" s="299" t="s">
        <v>49</v>
      </c>
      <c r="H163" s="299" t="s">
        <v>49</v>
      </c>
      <c r="I163" s="299" t="s">
        <v>49</v>
      </c>
      <c r="J163" s="299" t="s">
        <v>49</v>
      </c>
      <c r="K163" s="299" t="s">
        <v>49</v>
      </c>
      <c r="L163" s="299" t="s">
        <v>49</v>
      </c>
      <c r="M163" s="299" t="s">
        <v>49</v>
      </c>
      <c r="N163" s="299" t="s">
        <v>49</v>
      </c>
      <c r="O163" s="299" t="s">
        <v>49</v>
      </c>
      <c r="P163" s="299" t="s">
        <v>49</v>
      </c>
      <c r="Q163" s="299" t="s">
        <v>49</v>
      </c>
      <c r="R163" s="299" t="s">
        <v>49</v>
      </c>
      <c r="S163" s="299" t="s">
        <v>49</v>
      </c>
      <c r="T163" s="299" t="s">
        <v>49</v>
      </c>
      <c r="U163" s="299" t="s">
        <v>49</v>
      </c>
      <c r="V163" s="299" t="s">
        <v>49</v>
      </c>
      <c r="W163" s="299" t="s">
        <v>49</v>
      </c>
      <c r="X163" s="299" t="s">
        <v>49</v>
      </c>
      <c r="Y163" s="299" t="s">
        <v>49</v>
      </c>
      <c r="Z163" s="299" t="s">
        <v>49</v>
      </c>
      <c r="AA163" s="299" t="s">
        <v>49</v>
      </c>
      <c r="AB163" s="299" t="s">
        <v>49</v>
      </c>
      <c r="AC163" s="299" t="s">
        <v>49</v>
      </c>
      <c r="AD163" s="299" t="s">
        <v>49</v>
      </c>
      <c r="AE163" s="299" t="s">
        <v>49</v>
      </c>
      <c r="AF163" s="299" t="s">
        <v>49</v>
      </c>
      <c r="AG163" s="299" t="s">
        <v>49</v>
      </c>
      <c r="AH163" s="299" t="s">
        <v>49</v>
      </c>
      <c r="AI163" s="299" t="s">
        <v>49</v>
      </c>
      <c r="AJ163" s="299" t="s">
        <v>49</v>
      </c>
      <c r="AK163" s="299" t="s">
        <v>49</v>
      </c>
      <c r="AL163" s="300" t="s">
        <v>49</v>
      </c>
      <c r="AM163" s="45" t="s">
        <v>49</v>
      </c>
      <c r="AN163" s="35" t="s">
        <v>49</v>
      </c>
      <c r="AO163" s="35" t="s">
        <v>49</v>
      </c>
      <c r="AP163" s="35" t="s">
        <v>49</v>
      </c>
      <c r="AQ163" s="35" t="s">
        <v>49</v>
      </c>
      <c r="AR163" s="35" t="s">
        <v>49</v>
      </c>
      <c r="AS163" s="45" t="s">
        <v>49</v>
      </c>
      <c r="AT163" s="45" t="s">
        <v>49</v>
      </c>
      <c r="AU163" s="45" t="s">
        <v>49</v>
      </c>
      <c r="AV163" s="35" t="s">
        <v>49</v>
      </c>
      <c r="AW163" s="35" t="s">
        <v>49</v>
      </c>
      <c r="AX163" s="35" t="s">
        <v>49</v>
      </c>
      <c r="AY163" s="35" t="s">
        <v>49</v>
      </c>
      <c r="AZ163" s="35" t="s">
        <v>49</v>
      </c>
      <c r="BA163" s="35" t="s">
        <v>49</v>
      </c>
      <c r="BB163" s="35" t="s">
        <v>49</v>
      </c>
      <c r="BC163" s="35" t="s">
        <v>49</v>
      </c>
      <c r="BD163" s="35" t="s">
        <v>49</v>
      </c>
      <c r="BE163" s="35" t="s">
        <v>49</v>
      </c>
      <c r="BF163" s="35" t="s">
        <v>49</v>
      </c>
      <c r="BG163" s="35" t="s">
        <v>49</v>
      </c>
      <c r="BH163" s="35" t="s">
        <v>49</v>
      </c>
      <c r="BI163" s="45" t="s">
        <v>49</v>
      </c>
      <c r="BJ163" s="35" t="s">
        <v>49</v>
      </c>
      <c r="BK163" s="35" t="s">
        <v>49</v>
      </c>
      <c r="BL163" s="35" t="s">
        <v>49</v>
      </c>
      <c r="BM163" s="35" t="s">
        <v>49</v>
      </c>
      <c r="BN163" s="35" t="s">
        <v>49</v>
      </c>
      <c r="BO163" s="35" t="s">
        <v>49</v>
      </c>
      <c r="BP163" s="35" t="s">
        <v>49</v>
      </c>
      <c r="BQ163" s="35" t="s">
        <v>49</v>
      </c>
      <c r="BR163" s="35" t="s">
        <v>49</v>
      </c>
      <c r="BS163" s="35" t="s">
        <v>49</v>
      </c>
      <c r="BT163" s="35" t="s">
        <v>49</v>
      </c>
      <c r="BU163" s="35" t="s">
        <v>49</v>
      </c>
      <c r="BV163" s="35" t="s">
        <v>49</v>
      </c>
      <c r="BW163" s="35" t="s">
        <v>49</v>
      </c>
      <c r="BX163" s="35" t="s">
        <v>49</v>
      </c>
      <c r="BY163" s="35" t="s">
        <v>49</v>
      </c>
      <c r="BZ163" s="35" t="s">
        <v>49</v>
      </c>
      <c r="CA163" s="174">
        <v>9.3069614940446077E-2</v>
      </c>
      <c r="CB163" s="174">
        <v>9.2889761044237851E-2</v>
      </c>
      <c r="CC163" s="174">
        <v>9.3499572644348605E-2</v>
      </c>
      <c r="CD163" s="174">
        <v>9.5556292949241034E-2</v>
      </c>
      <c r="CE163" s="174">
        <v>9.8247925058175298E-2</v>
      </c>
      <c r="CF163" s="174">
        <v>0.1002593611810897</v>
      </c>
      <c r="CG163" s="174">
        <v>0.10014394400321482</v>
      </c>
      <c r="CH163" s="174">
        <v>0.10085312702633811</v>
      </c>
      <c r="CI163" s="174">
        <v>0.1027809058812334</v>
      </c>
      <c r="CJ163" s="174">
        <v>0.10424363463806349</v>
      </c>
      <c r="CK163" s="174">
        <v>0.10613401634328365</v>
      </c>
      <c r="CL163" s="174">
        <v>0.10839039527581332</v>
      </c>
      <c r="CM163" s="174">
        <v>0.10989508996897759</v>
      </c>
      <c r="CN163" s="174">
        <v>0.11079168639326831</v>
      </c>
      <c r="CO163" s="174">
        <v>0.10729849766825611</v>
      </c>
      <c r="CP163" s="174">
        <v>0.10910312112984644</v>
      </c>
      <c r="CQ163" s="174">
        <v>0.10491151128448478</v>
      </c>
      <c r="CR163" s="367">
        <v>0.10382837896164397</v>
      </c>
      <c r="CS163" s="367">
        <v>0.10955746827943665</v>
      </c>
      <c r="CT163" s="367">
        <v>0.10694021879661156</v>
      </c>
      <c r="CU163" s="409">
        <v>0.11055495545098175</v>
      </c>
    </row>
    <row r="164" spans="1:101" x14ac:dyDescent="0.2">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301"/>
      <c r="BI164" s="301"/>
      <c r="BJ164" s="301"/>
      <c r="BK164" s="301"/>
      <c r="BL164" s="301"/>
      <c r="BM164" s="301"/>
      <c r="BN164" s="301"/>
      <c r="BO164" s="301"/>
      <c r="BP164" s="301"/>
      <c r="BQ164" s="301"/>
      <c r="BR164" s="301"/>
      <c r="BS164" s="301"/>
      <c r="BT164" s="301"/>
      <c r="BU164" s="301"/>
      <c r="BV164" s="301"/>
      <c r="BW164" s="301"/>
      <c r="BX164" s="301"/>
      <c r="BY164" s="301"/>
      <c r="BZ164" s="301"/>
      <c r="CA164" s="301"/>
      <c r="CB164" s="301"/>
      <c r="CC164" s="301"/>
      <c r="CD164" s="301"/>
      <c r="CE164" s="301"/>
      <c r="CF164" s="301"/>
      <c r="CG164" s="301"/>
      <c r="CH164" s="301"/>
      <c r="CI164" s="301"/>
      <c r="CJ164" s="301"/>
      <c r="CK164" s="301"/>
      <c r="CL164" s="301"/>
      <c r="CM164" s="301"/>
      <c r="CN164" s="301"/>
      <c r="CO164" s="301"/>
      <c r="CP164" s="301"/>
      <c r="CQ164" s="301"/>
      <c r="CR164" s="237"/>
      <c r="CS164" s="237"/>
      <c r="CT164" s="237"/>
      <c r="CU164" s="237"/>
    </row>
    <row r="165" spans="1:101" x14ac:dyDescent="0.2">
      <c r="A165" s="136" t="s">
        <v>127</v>
      </c>
      <c r="B165" s="25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301"/>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262"/>
      <c r="CS165" s="262"/>
      <c r="CT165" s="262"/>
      <c r="CU165" s="262"/>
    </row>
    <row r="166" spans="1:101" ht="15" x14ac:dyDescent="0.2">
      <c r="A166" s="302" t="s">
        <v>224</v>
      </c>
      <c r="B166" s="4"/>
      <c r="C166" s="4"/>
      <c r="D166" s="4"/>
      <c r="E166" s="4"/>
      <c r="F166" s="4"/>
      <c r="G166" s="4"/>
      <c r="H166" s="4"/>
      <c r="I166" s="4"/>
      <c r="J166" s="4"/>
      <c r="K166" s="4"/>
      <c r="L166" s="2"/>
      <c r="M166" s="4"/>
      <c r="N166" s="4"/>
      <c r="O166" s="4"/>
      <c r="P166" s="4"/>
      <c r="Q166" s="4"/>
      <c r="R166" s="4"/>
      <c r="S166" s="4"/>
      <c r="T166" s="4"/>
      <c r="U166" s="4"/>
      <c r="V166" s="4"/>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322"/>
      <c r="CU166" s="2"/>
      <c r="CV166" s="2"/>
      <c r="CW166" s="2"/>
    </row>
    <row r="167" spans="1:101" ht="15" x14ac:dyDescent="0.2">
      <c r="A167" s="2" t="s">
        <v>212</v>
      </c>
      <c r="CR167" s="262"/>
      <c r="CS167" s="262"/>
      <c r="CT167" s="262"/>
      <c r="CU167" s="262"/>
    </row>
    <row r="168" spans="1:101" ht="27.75" x14ac:dyDescent="0.2">
      <c r="A168" s="203" t="s">
        <v>234</v>
      </c>
      <c r="CR168" s="262"/>
      <c r="CS168" s="262"/>
      <c r="CT168" s="262"/>
      <c r="CU168" s="262"/>
    </row>
    <row r="169" spans="1:101" ht="53.25" x14ac:dyDescent="0.2">
      <c r="A169" s="203" t="s">
        <v>219</v>
      </c>
      <c r="CR169" s="262"/>
      <c r="CS169" s="262"/>
      <c r="CT169" s="262"/>
      <c r="CU169" s="262"/>
    </row>
    <row r="170" spans="1:101" ht="40.5" x14ac:dyDescent="0.2">
      <c r="A170" s="203" t="s">
        <v>240</v>
      </c>
      <c r="CR170" s="262"/>
      <c r="CS170" s="262"/>
      <c r="CT170" s="262"/>
      <c r="CU170" s="262"/>
    </row>
    <row r="171" spans="1:101" ht="27.75" x14ac:dyDescent="0.2">
      <c r="A171" s="302" t="s">
        <v>239</v>
      </c>
      <c r="CR171" s="262"/>
      <c r="CS171" s="262"/>
      <c r="CT171" s="262"/>
      <c r="CU171" s="262"/>
    </row>
    <row r="172" spans="1:101" ht="27.75" x14ac:dyDescent="0.2">
      <c r="A172" s="302" t="s">
        <v>241</v>
      </c>
      <c r="CR172" s="262"/>
      <c r="CS172" s="262"/>
      <c r="CT172" s="262"/>
      <c r="CU172" s="262"/>
    </row>
    <row r="173" spans="1:101" ht="15" x14ac:dyDescent="0.2">
      <c r="A173" s="2" t="s">
        <v>242</v>
      </c>
      <c r="CR173" s="262"/>
      <c r="CS173" s="262"/>
      <c r="CT173" s="262"/>
      <c r="CU173" s="262"/>
    </row>
    <row r="174" spans="1:101" ht="28.5" x14ac:dyDescent="0.2">
      <c r="A174" s="302" t="s">
        <v>273</v>
      </c>
      <c r="CR174" s="262"/>
      <c r="CS174" s="262"/>
      <c r="CT174" s="262"/>
      <c r="CU174" s="262"/>
    </row>
    <row r="175" spans="1:101" ht="40.5" customHeight="1" x14ac:dyDescent="0.2">
      <c r="A175" s="302" t="s">
        <v>262</v>
      </c>
      <c r="CR175" s="262"/>
      <c r="CS175" s="262"/>
      <c r="CT175" s="262"/>
      <c r="CU175" s="262"/>
    </row>
    <row r="176" spans="1:101" ht="27.75" x14ac:dyDescent="0.2">
      <c r="A176" s="302" t="s">
        <v>272</v>
      </c>
      <c r="CR176" s="262"/>
      <c r="CS176" s="262"/>
      <c r="CT176" s="262"/>
      <c r="CU176" s="262"/>
    </row>
    <row r="177" spans="1:264" x14ac:dyDescent="0.2">
      <c r="A177" s="302"/>
      <c r="CR177" s="262"/>
      <c r="CS177" s="262"/>
      <c r="CT177" s="262"/>
      <c r="CU177" s="262"/>
    </row>
    <row r="178" spans="1:264" x14ac:dyDescent="0.2">
      <c r="A178" s="302"/>
    </row>
    <row r="180" spans="1:264" x14ac:dyDescent="0.2">
      <c r="A180" s="302"/>
    </row>
    <row r="181" spans="1:264" s="175" customFormat="1" x14ac:dyDescent="0.2">
      <c r="A181" s="2"/>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c r="CS181"/>
      <c r="CT181"/>
      <c r="CU181"/>
      <c r="CV181"/>
      <c r="CW181"/>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c r="GQ181" s="2"/>
      <c r="GR181" s="2"/>
      <c r="GS181" s="2"/>
      <c r="GT181" s="2"/>
      <c r="GU181" s="2"/>
      <c r="GV181" s="2"/>
      <c r="GW181" s="2"/>
      <c r="GX181" s="2"/>
      <c r="GY181" s="2"/>
      <c r="GZ181" s="2"/>
      <c r="HA181" s="2"/>
      <c r="HB181" s="2"/>
      <c r="HC181" s="2"/>
      <c r="HD181" s="2"/>
      <c r="HE181" s="2"/>
      <c r="HF181" s="2"/>
      <c r="HG181" s="2"/>
      <c r="HH181" s="2"/>
      <c r="HI181" s="2"/>
      <c r="HJ181" s="2"/>
      <c r="HK181" s="2"/>
      <c r="HL181" s="2"/>
      <c r="HM181" s="2"/>
      <c r="HN181" s="2"/>
      <c r="HO181" s="2"/>
      <c r="HP181" s="2"/>
      <c r="HQ181" s="2"/>
      <c r="HR181" s="2"/>
      <c r="HS181" s="2"/>
      <c r="HT181" s="2"/>
      <c r="HU181" s="2"/>
      <c r="HV181" s="2"/>
      <c r="HW181" s="2"/>
      <c r="HX181" s="2"/>
      <c r="HY181" s="2"/>
      <c r="HZ181" s="2"/>
      <c r="IA181" s="2"/>
      <c r="IB181" s="2"/>
      <c r="IC181" s="2"/>
      <c r="ID181" s="2"/>
      <c r="IE181" s="2"/>
      <c r="IF181" s="2"/>
      <c r="IG181" s="2"/>
      <c r="IH181" s="2"/>
      <c r="II181" s="2"/>
      <c r="IJ181" s="2"/>
      <c r="IK181" s="2"/>
      <c r="IL181" s="2"/>
      <c r="IM181" s="2"/>
      <c r="IN181" s="2"/>
      <c r="IO181" s="2"/>
      <c r="IP181" s="2"/>
      <c r="IQ181" s="2"/>
      <c r="IR181" s="2"/>
      <c r="IS181" s="2"/>
      <c r="IT181" s="2"/>
      <c r="IU181" s="2"/>
      <c r="IV181" s="2"/>
      <c r="IW181" s="2"/>
      <c r="IX181" s="2"/>
      <c r="IY181" s="2"/>
      <c r="IZ181" s="2"/>
      <c r="JA181" s="2"/>
      <c r="JB181" s="2"/>
      <c r="JC181" s="2"/>
      <c r="JD181" s="2"/>
    </row>
  </sheetData>
  <phoneticPr fontId="0" type="noConversion"/>
  <pageMargins left="0.70866141732283472" right="0.70866141732283472" top="0.74803149606299213" bottom="0.74803149606299213" header="0.31496062992125984" footer="0.31496062992125984"/>
  <pageSetup paperSize="8" scale="60" fitToHeight="0" orientation="landscape" r:id="rId1"/>
  <headerFooter>
    <oddFooter>&amp;R&amp;P (&amp;N)</oddFooter>
  </headerFooter>
  <rowBreaks count="2" manualBreakCount="2">
    <brk id="80" max="98" man="1"/>
    <brk id="139" max="9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178"/>
  <sheetViews>
    <sheetView showGridLines="0" zoomScaleNormal="100" workbookViewId="0">
      <pane xSplit="1" ySplit="6" topLeftCell="R139" activePane="bottomRight" state="frozen"/>
      <selection pane="topRight" activeCell="B1" sqref="B1"/>
      <selection pane="bottomLeft" activeCell="A7" sqref="A7"/>
      <selection pane="bottomRight" activeCell="Y165" sqref="Y165"/>
    </sheetView>
  </sheetViews>
  <sheetFormatPr defaultColWidth="9.140625" defaultRowHeight="12.75" outlineLevelCol="1" x14ac:dyDescent="0.2"/>
  <cols>
    <col min="1" max="1" width="41" style="2" customWidth="1"/>
    <col min="2" max="17" width="12.28515625" style="1" hidden="1" customWidth="1" outlineLevel="1"/>
    <col min="18" max="18" width="12.28515625" style="1" bestFit="1" customWidth="1" collapsed="1"/>
    <col min="19" max="19" width="12.28515625" style="1" bestFit="1" customWidth="1"/>
    <col min="20" max="20" width="11.5703125" style="1" customWidth="1"/>
    <col min="21" max="21" width="11.85546875" style="1" customWidth="1"/>
    <col min="22" max="22" width="12.7109375" style="1" bestFit="1" customWidth="1"/>
    <col min="23" max="24" width="12.7109375" style="1" customWidth="1"/>
    <col min="25" max="25" width="15.28515625" style="1" customWidth="1"/>
    <col min="26" max="27" width="11" style="2" bestFit="1" customWidth="1"/>
    <col min="28" max="16384" width="9.140625" style="2"/>
  </cols>
  <sheetData>
    <row r="1" spans="1:28" ht="17.25" customHeight="1" x14ac:dyDescent="0.2">
      <c r="A1" s="137" t="s">
        <v>265</v>
      </c>
      <c r="L1" s="200"/>
      <c r="M1" s="200"/>
      <c r="N1" s="200"/>
    </row>
    <row r="2" spans="1:28" ht="33.75" x14ac:dyDescent="0.2">
      <c r="A2" s="3" t="s">
        <v>98</v>
      </c>
      <c r="B2" s="113"/>
      <c r="L2" s="200"/>
      <c r="M2" s="200"/>
      <c r="N2" s="200"/>
    </row>
    <row r="3" spans="1:28" ht="16.5" customHeight="1" x14ac:dyDescent="0.2">
      <c r="A3" s="123" t="s">
        <v>25</v>
      </c>
      <c r="B3" s="138" t="s">
        <v>37</v>
      </c>
      <c r="C3" s="126"/>
      <c r="D3" s="126"/>
      <c r="E3" s="126"/>
      <c r="F3" s="126"/>
      <c r="G3" s="126"/>
      <c r="H3" s="126"/>
      <c r="I3" s="126"/>
      <c r="J3" s="126"/>
      <c r="K3" s="126"/>
      <c r="L3" s="126"/>
      <c r="M3" s="126"/>
      <c r="N3" s="126"/>
      <c r="O3" s="126"/>
      <c r="P3" s="126"/>
      <c r="Q3" s="126"/>
      <c r="R3" s="126"/>
      <c r="S3" s="126"/>
      <c r="T3" s="126"/>
      <c r="U3" s="126"/>
      <c r="V3" s="126"/>
      <c r="W3" s="126"/>
      <c r="X3" s="126"/>
      <c r="Y3" s="126"/>
      <c r="Z3" s="127"/>
    </row>
    <row r="4" spans="1:28" x14ac:dyDescent="0.2">
      <c r="A4" s="128" t="s">
        <v>267</v>
      </c>
      <c r="B4" s="139"/>
      <c r="C4" s="129"/>
      <c r="D4" s="129"/>
      <c r="E4" s="129"/>
      <c r="F4" s="129"/>
      <c r="G4" s="129"/>
      <c r="H4" s="129"/>
      <c r="I4" s="129"/>
      <c r="J4" s="129"/>
      <c r="K4" s="129"/>
      <c r="L4" s="129"/>
      <c r="M4" s="129"/>
      <c r="N4" s="129"/>
      <c r="O4" s="129"/>
      <c r="P4" s="129"/>
      <c r="Q4" s="129"/>
      <c r="R4" s="129"/>
      <c r="S4" s="129"/>
      <c r="T4" s="129"/>
      <c r="U4" s="129"/>
      <c r="V4" s="129"/>
      <c r="W4" s="129"/>
      <c r="X4" s="129"/>
      <c r="Y4" s="129"/>
      <c r="Z4" s="140" t="s">
        <v>36</v>
      </c>
    </row>
    <row r="5" spans="1:28" x14ac:dyDescent="0.2">
      <c r="A5" s="131"/>
      <c r="B5" s="141">
        <v>2001</v>
      </c>
      <c r="C5" s="133">
        <v>2002</v>
      </c>
      <c r="D5" s="133">
        <v>2003</v>
      </c>
      <c r="E5" s="133">
        <v>2004</v>
      </c>
      <c r="F5" s="133">
        <v>2005</v>
      </c>
      <c r="G5" s="133">
        <v>2006</v>
      </c>
      <c r="H5" s="133">
        <v>2007</v>
      </c>
      <c r="I5" s="133">
        <v>2008</v>
      </c>
      <c r="J5" s="133">
        <v>2009</v>
      </c>
      <c r="K5" s="133">
        <v>2010</v>
      </c>
      <c r="L5" s="133">
        <v>2011</v>
      </c>
      <c r="M5" s="133">
        <v>2012</v>
      </c>
      <c r="N5" s="133">
        <v>2013</v>
      </c>
      <c r="O5" s="133">
        <v>2014</v>
      </c>
      <c r="P5" s="133">
        <v>2015</v>
      </c>
      <c r="Q5" s="133">
        <v>2016</v>
      </c>
      <c r="R5" s="133">
        <v>2017</v>
      </c>
      <c r="S5" s="133">
        <v>2018</v>
      </c>
      <c r="T5" s="133">
        <v>2019</v>
      </c>
      <c r="U5" s="133">
        <v>2020</v>
      </c>
      <c r="V5" s="133">
        <v>2021</v>
      </c>
      <c r="W5" s="133">
        <v>2022</v>
      </c>
      <c r="X5" s="133">
        <v>2023</v>
      </c>
      <c r="Y5" s="133">
        <v>2024</v>
      </c>
      <c r="Z5" s="195" t="s">
        <v>266</v>
      </c>
    </row>
    <row r="6" spans="1:28" x14ac:dyDescent="0.2">
      <c r="A6" s="6"/>
      <c r="B6" s="11"/>
      <c r="C6" s="9"/>
      <c r="D6" s="9"/>
      <c r="E6" s="9"/>
      <c r="F6" s="9"/>
      <c r="G6" s="9"/>
      <c r="H6" s="9"/>
      <c r="I6" s="9"/>
      <c r="J6" s="9"/>
      <c r="K6" s="9"/>
      <c r="L6" s="9"/>
      <c r="M6" s="9"/>
      <c r="N6" s="9"/>
      <c r="O6" s="9"/>
      <c r="P6" s="10"/>
      <c r="Q6" s="10"/>
      <c r="R6" s="10"/>
      <c r="S6" s="10"/>
      <c r="T6" s="10"/>
      <c r="U6" s="10"/>
      <c r="V6" s="10"/>
      <c r="W6" s="10"/>
      <c r="X6" s="10"/>
      <c r="Y6" s="10"/>
      <c r="Z6" s="379"/>
    </row>
    <row r="7" spans="1:28" s="188" customFormat="1" x14ac:dyDescent="0.2">
      <c r="A7" s="134" t="s">
        <v>83</v>
      </c>
      <c r="B7" s="8"/>
      <c r="C7" s="12"/>
      <c r="D7" s="12"/>
      <c r="E7" s="12"/>
      <c r="F7" s="12"/>
      <c r="G7" s="12"/>
      <c r="H7" s="12"/>
      <c r="I7" s="12"/>
      <c r="J7" s="12"/>
      <c r="K7" s="12"/>
      <c r="L7" s="12"/>
      <c r="M7" s="12"/>
      <c r="N7" s="12"/>
      <c r="O7" s="12"/>
      <c r="P7" s="13"/>
      <c r="Q7" s="13"/>
      <c r="R7" s="13"/>
      <c r="S7" s="13"/>
      <c r="T7" s="13"/>
      <c r="U7" s="13"/>
      <c r="V7" s="13"/>
      <c r="W7" s="13"/>
      <c r="X7" s="13"/>
      <c r="Y7" s="13"/>
      <c r="Z7" s="380"/>
    </row>
    <row r="8" spans="1:28" x14ac:dyDescent="0.2">
      <c r="A8" s="326"/>
      <c r="B8" s="327"/>
      <c r="C8" s="228"/>
      <c r="D8" s="228"/>
      <c r="E8" s="228"/>
      <c r="F8" s="228"/>
      <c r="G8" s="228"/>
      <c r="H8" s="228"/>
      <c r="I8" s="228"/>
      <c r="J8" s="228"/>
      <c r="K8" s="228"/>
      <c r="L8" s="228"/>
      <c r="M8" s="328"/>
      <c r="N8" s="329"/>
      <c r="O8" s="329"/>
      <c r="P8" s="329"/>
      <c r="Q8" s="329"/>
      <c r="R8" s="329"/>
      <c r="S8" s="329"/>
      <c r="T8" s="329"/>
      <c r="U8" s="329"/>
      <c r="V8" s="329"/>
      <c r="W8" s="329"/>
      <c r="X8" s="329"/>
      <c r="Y8" s="329"/>
      <c r="Z8" s="303"/>
      <c r="AB8" s="208"/>
    </row>
    <row r="9" spans="1:28" x14ac:dyDescent="0.2">
      <c r="A9" s="331" t="s">
        <v>215</v>
      </c>
      <c r="B9" s="178"/>
      <c r="C9" s="178"/>
      <c r="D9" s="178"/>
      <c r="E9" s="178"/>
      <c r="F9" s="178"/>
      <c r="G9" s="178"/>
      <c r="H9" s="178"/>
      <c r="I9" s="178"/>
      <c r="J9" s="178"/>
      <c r="K9" s="178"/>
      <c r="L9" s="178"/>
      <c r="M9" s="178"/>
      <c r="N9" s="178"/>
      <c r="O9" s="178"/>
      <c r="P9" s="178"/>
      <c r="Q9" s="178"/>
      <c r="R9" s="178"/>
      <c r="S9" s="178"/>
      <c r="T9" s="178"/>
      <c r="U9" s="178"/>
      <c r="V9" s="178"/>
      <c r="W9" s="178"/>
      <c r="X9" s="178"/>
      <c r="Y9" s="376"/>
      <c r="Z9" s="381"/>
    </row>
    <row r="10" spans="1:28" x14ac:dyDescent="0.2">
      <c r="A10" s="18" t="s">
        <v>26</v>
      </c>
      <c r="B10" s="22">
        <f>SUM('Quarterly Data 2001-2025'!C10:F10)</f>
        <v>62</v>
      </c>
      <c r="C10" s="19">
        <f>SUM('Quarterly Data 2001-2025'!G10:J10)</f>
        <v>79.800000000000011</v>
      </c>
      <c r="D10" s="19">
        <f>SUM('Quarterly Data 2001-2025'!K10:N10)</f>
        <v>101</v>
      </c>
      <c r="E10" s="19">
        <f>SUM('Quarterly Data 2001-2025'!O10:R10)</f>
        <v>140.9</v>
      </c>
      <c r="F10" s="19">
        <f>SUM('Quarterly Data 2001-2025'!S10:V10)</f>
        <v>177.7</v>
      </c>
      <c r="G10" s="19">
        <f>SUM('Quarterly Data 2001-2025'!W10:Z10)</f>
        <v>279.5</v>
      </c>
      <c r="H10" s="19">
        <f>SUM('Quarterly Data 2001-2025'!AA10:AD10)</f>
        <v>303.85200000000003</v>
      </c>
      <c r="I10" s="19">
        <f>SUM('Quarterly Data 2001-2025'!AE10:AH10)</f>
        <v>276</v>
      </c>
      <c r="J10" s="19">
        <f>SUM('Quarterly Data 2001-2025'!AI10:AL10)</f>
        <v>342.68900000000002</v>
      </c>
      <c r="K10" s="19">
        <f>SUM('Quarterly Data 2001-2025'!AM10:AP10)</f>
        <v>372.1</v>
      </c>
      <c r="L10" s="19">
        <v>351.7</v>
      </c>
      <c r="M10" s="19">
        <f>SUM('Quarterly Data 2001-2025'!AU10:AX10)</f>
        <v>258</v>
      </c>
      <c r="N10" s="19">
        <f>SUM('Quarterly Data 2001-2025'!AY10:BB10)</f>
        <v>290</v>
      </c>
      <c r="O10" s="19">
        <f>SUM('Quarterly Data 2001-2025'!BC10:BF10)</f>
        <v>332.5</v>
      </c>
      <c r="P10" s="19">
        <v>550.20000000000005</v>
      </c>
      <c r="Q10" s="19">
        <v>542.79999999999995</v>
      </c>
      <c r="R10" s="19">
        <v>528.1</v>
      </c>
      <c r="S10" s="20">
        <v>520.35195819</v>
      </c>
      <c r="T10" s="20">
        <v>556.20324171999835</v>
      </c>
      <c r="U10" s="19">
        <v>1271.6291928199964</v>
      </c>
      <c r="V10" s="20">
        <v>1689.9334721300011</v>
      </c>
      <c r="W10" s="19">
        <v>1111.4189661800012</v>
      </c>
      <c r="X10" s="19">
        <v>861.68844438000008</v>
      </c>
      <c r="Y10" s="20">
        <f>SUM('Quarterly Data 2001-2025'!CQ10:CT10)</f>
        <v>1066.2336046800053</v>
      </c>
      <c r="Z10" s="382">
        <f>+((Y10/T10)^(1/5))-1</f>
        <v>0.13900012064868328</v>
      </c>
    </row>
    <row r="11" spans="1:28" x14ac:dyDescent="0.2">
      <c r="A11" s="23" t="s">
        <v>29</v>
      </c>
      <c r="B11" s="26">
        <f>SUM('Quarterly Data 2001-2025'!C11:F11)</f>
        <v>-10.199999999999999</v>
      </c>
      <c r="C11" s="24">
        <f>SUM('Quarterly Data 2001-2025'!G11:J11)</f>
        <v>-10</v>
      </c>
      <c r="D11" s="24">
        <f>SUM('Quarterly Data 2001-2025'!K11:N11)</f>
        <v>-12</v>
      </c>
      <c r="E11" s="24">
        <f>SUM('Quarterly Data 2001-2025'!O11:R11)</f>
        <v>-17.8</v>
      </c>
      <c r="F11" s="24">
        <f>SUM('Quarterly Data 2001-2025'!S11:V11)</f>
        <v>-23.5</v>
      </c>
      <c r="G11" s="24">
        <f>SUM('Quarterly Data 2001-2025'!W11:Z11)</f>
        <v>-39.800000000000004</v>
      </c>
      <c r="H11" s="19">
        <f>SUM('Quarterly Data 2001-2025'!AA11:AD11)</f>
        <v>-48.237000000000002</v>
      </c>
      <c r="I11" s="19">
        <f>SUM('Quarterly Data 2001-2025'!AE11:AH11)</f>
        <v>-46.67</v>
      </c>
      <c r="J11" s="19">
        <f>SUM('Quarterly Data 2001-2025'!AI11:AL11)</f>
        <v>-42.819999999999993</v>
      </c>
      <c r="K11" s="19">
        <f>SUM('Quarterly Data 2001-2025'!AM11:AP11)</f>
        <v>-43.2</v>
      </c>
      <c r="L11" s="19">
        <v>-46.6</v>
      </c>
      <c r="M11" s="19">
        <f>SUM('Quarterly Data 2001-2025'!AU11:AX11)</f>
        <v>-42</v>
      </c>
      <c r="N11" s="19">
        <f>SUM('Quarterly Data 2001-2025'!AY11:BB11)</f>
        <v>-45</v>
      </c>
      <c r="O11" s="19">
        <f>SUM('Quarterly Data 2001-2025'!BC11:BF11)</f>
        <v>-46.8</v>
      </c>
      <c r="P11" s="19">
        <v>-70.8</v>
      </c>
      <c r="Q11" s="19">
        <v>-73.400000000000006</v>
      </c>
      <c r="R11" s="19">
        <v>-78.7</v>
      </c>
      <c r="S11" s="20">
        <v>-85.099727200000004</v>
      </c>
      <c r="T11" s="20">
        <v>-90.325135259999996</v>
      </c>
      <c r="U11" s="19">
        <v>-169.58560554999977</v>
      </c>
      <c r="V11" s="20">
        <v>-233.95475655999996</v>
      </c>
      <c r="W11" s="19">
        <v>-155.52885256000008</v>
      </c>
      <c r="X11" s="19">
        <v>-137.7012235</v>
      </c>
      <c r="Y11" s="20">
        <f>SUM('Quarterly Data 2001-2025'!CQ11:CT11)</f>
        <v>-154.76871716000002</v>
      </c>
      <c r="Z11" s="382">
        <f>+((Y11/T11)^(1/5))-1</f>
        <v>0.11371716305231216</v>
      </c>
    </row>
    <row r="12" spans="1:28" s="188" customFormat="1" x14ac:dyDescent="0.2">
      <c r="A12" s="27" t="s">
        <v>30</v>
      </c>
      <c r="B12" s="30">
        <f t="shared" ref="B12:P12" si="0">SUM(B10:B11)</f>
        <v>51.8</v>
      </c>
      <c r="C12" s="28">
        <f t="shared" si="0"/>
        <v>69.800000000000011</v>
      </c>
      <c r="D12" s="28">
        <f t="shared" si="0"/>
        <v>89</v>
      </c>
      <c r="E12" s="28">
        <f t="shared" si="0"/>
        <v>123.10000000000001</v>
      </c>
      <c r="F12" s="28">
        <f t="shared" si="0"/>
        <v>154.19999999999999</v>
      </c>
      <c r="G12" s="28">
        <f t="shared" si="0"/>
        <v>239.7</v>
      </c>
      <c r="H12" s="28">
        <f t="shared" si="0"/>
        <v>255.61500000000004</v>
      </c>
      <c r="I12" s="28">
        <f t="shared" si="0"/>
        <v>229.32999999999998</v>
      </c>
      <c r="J12" s="28">
        <f t="shared" si="0"/>
        <v>299.86900000000003</v>
      </c>
      <c r="K12" s="28">
        <f t="shared" si="0"/>
        <v>328.90000000000003</v>
      </c>
      <c r="L12" s="28">
        <f t="shared" si="0"/>
        <v>305.09999999999997</v>
      </c>
      <c r="M12" s="28">
        <f t="shared" si="0"/>
        <v>216</v>
      </c>
      <c r="N12" s="28">
        <f t="shared" si="0"/>
        <v>245</v>
      </c>
      <c r="O12" s="28">
        <f t="shared" si="0"/>
        <v>285.7</v>
      </c>
      <c r="P12" s="28">
        <f t="shared" si="0"/>
        <v>479.40000000000003</v>
      </c>
      <c r="Q12" s="28">
        <f t="shared" ref="Q12:W12" si="1">SUM(Q10:Q11)</f>
        <v>469.4</v>
      </c>
      <c r="R12" s="28">
        <f t="shared" si="1"/>
        <v>449.40000000000003</v>
      </c>
      <c r="S12" s="28">
        <f t="shared" si="1"/>
        <v>435.25223098999999</v>
      </c>
      <c r="T12" s="28">
        <f t="shared" si="1"/>
        <v>465.87810645999832</v>
      </c>
      <c r="U12" s="28">
        <f t="shared" si="1"/>
        <v>1102.0435872699966</v>
      </c>
      <c r="V12" s="28">
        <f t="shared" si="1"/>
        <v>1455.978715570001</v>
      </c>
      <c r="W12" s="28">
        <f t="shared" si="1"/>
        <v>955.8901136200011</v>
      </c>
      <c r="X12" s="28">
        <f>SUM(X10:X11)</f>
        <v>723.98722088000011</v>
      </c>
      <c r="Y12" s="28">
        <f>SUM(Y10:Y11)</f>
        <v>911.46488752000528</v>
      </c>
      <c r="Z12" s="383">
        <f>+((Y12/T12)^(1/5))-1</f>
        <v>0.14365103740217311</v>
      </c>
      <c r="AA12" s="306"/>
    </row>
    <row r="13" spans="1:28" x14ac:dyDescent="0.2">
      <c r="A13" s="27" t="s">
        <v>214</v>
      </c>
      <c r="B13" s="26" t="s">
        <v>34</v>
      </c>
      <c r="C13" s="24" t="s">
        <v>34</v>
      </c>
      <c r="D13" s="24" t="s">
        <v>34</v>
      </c>
      <c r="E13" s="24" t="s">
        <v>34</v>
      </c>
      <c r="F13" s="24" t="s">
        <v>34</v>
      </c>
      <c r="G13" s="24" t="s">
        <v>34</v>
      </c>
      <c r="H13" s="19" t="s">
        <v>34</v>
      </c>
      <c r="I13" s="19" t="s">
        <v>34</v>
      </c>
      <c r="J13" s="19" t="s">
        <v>34</v>
      </c>
      <c r="K13" s="19" t="s">
        <v>34</v>
      </c>
      <c r="L13" s="19" t="s">
        <v>34</v>
      </c>
      <c r="M13" s="19" t="s">
        <v>34</v>
      </c>
      <c r="N13" s="19" t="s">
        <v>34</v>
      </c>
      <c r="O13" s="19" t="s">
        <v>34</v>
      </c>
      <c r="P13" s="19" t="s">
        <v>34</v>
      </c>
      <c r="Q13" s="31">
        <f>SUM('Quarterly Data 2001-2025'!BK13:BN13)</f>
        <v>80.58</v>
      </c>
      <c r="R13" s="31">
        <f>SUM('Quarterly Data 2001-2025'!BO13:BR13)</f>
        <v>99.759999999999991</v>
      </c>
      <c r="S13" s="31">
        <f>SUM('Quarterly Data 2001-2025'!BS13:BV13)</f>
        <v>126.67410183000001</v>
      </c>
      <c r="T13" s="31">
        <f>SUM('Quarterly Data 2001-2025'!BW13:BZ13)</f>
        <v>124.63517392999999</v>
      </c>
      <c r="U13" s="31">
        <f>SUM('Quarterly Data 2001-2025'!CA13:CD13)</f>
        <v>355.19385961</v>
      </c>
      <c r="V13" s="31">
        <f>SUM('Quarterly Data 2001-2025'!CE13:CH13)</f>
        <v>625.47631568999986</v>
      </c>
      <c r="W13" s="31">
        <f>SUM('Quarterly Data 2001-2025'!CI13:CL13)</f>
        <v>364.32355867000484</v>
      </c>
      <c r="X13" s="31">
        <f>SUM('Quarterly Data 2001-2025'!CM13:CP13)</f>
        <v>287.29048674138295</v>
      </c>
      <c r="Y13" s="31">
        <f>SUM('Quarterly Data 2001-2025'!CQ13:CT13)</f>
        <v>453.69389101249988</v>
      </c>
      <c r="Z13" s="383">
        <f>+((Y13/S13)^(1/5))-1</f>
        <v>0.29066941760778242</v>
      </c>
      <c r="AA13" s="306"/>
    </row>
    <row r="14" spans="1:28" s="189" customFormat="1" x14ac:dyDescent="0.2">
      <c r="A14" s="176" t="s">
        <v>216</v>
      </c>
      <c r="B14" s="159">
        <f>SUM(B12:B13)</f>
        <v>51.8</v>
      </c>
      <c r="C14" s="159">
        <f>SUM(C12:C13)</f>
        <v>69.800000000000011</v>
      </c>
      <c r="D14" s="159">
        <f>SUM(D12:D13)</f>
        <v>89</v>
      </c>
      <c r="E14" s="159">
        <f t="shared" ref="E14:U14" si="2">SUM(E12:E13)</f>
        <v>123.10000000000001</v>
      </c>
      <c r="F14" s="159">
        <f t="shared" si="2"/>
        <v>154.19999999999999</v>
      </c>
      <c r="G14" s="159">
        <f t="shared" si="2"/>
        <v>239.7</v>
      </c>
      <c r="H14" s="159">
        <f t="shared" si="2"/>
        <v>255.61500000000004</v>
      </c>
      <c r="I14" s="159">
        <f t="shared" si="2"/>
        <v>229.32999999999998</v>
      </c>
      <c r="J14" s="159">
        <f t="shared" si="2"/>
        <v>299.86900000000003</v>
      </c>
      <c r="K14" s="159">
        <f t="shared" si="2"/>
        <v>328.90000000000003</v>
      </c>
      <c r="L14" s="159">
        <f t="shared" si="2"/>
        <v>305.09999999999997</v>
      </c>
      <c r="M14" s="159">
        <f t="shared" si="2"/>
        <v>216</v>
      </c>
      <c r="N14" s="159">
        <f t="shared" si="2"/>
        <v>245</v>
      </c>
      <c r="O14" s="159">
        <f t="shared" si="2"/>
        <v>285.7</v>
      </c>
      <c r="P14" s="159">
        <f>SUM(P12:P13)</f>
        <v>479.40000000000003</v>
      </c>
      <c r="Q14" s="159">
        <f t="shared" si="2"/>
        <v>549.98</v>
      </c>
      <c r="R14" s="159">
        <f t="shared" si="2"/>
        <v>549.16000000000008</v>
      </c>
      <c r="S14" s="201">
        <f t="shared" si="2"/>
        <v>561.92633281999997</v>
      </c>
      <c r="T14" s="159">
        <f t="shared" si="2"/>
        <v>590.51328038999827</v>
      </c>
      <c r="U14" s="159">
        <f t="shared" si="2"/>
        <v>1457.2374468799967</v>
      </c>
      <c r="V14" s="159">
        <f>SUM(V12:V13)</f>
        <v>2081.4550312600009</v>
      </c>
      <c r="W14" s="159">
        <f>SUM(W12:W13)</f>
        <v>1320.2136722900059</v>
      </c>
      <c r="X14" s="159">
        <f>SUM(X12:X13)</f>
        <v>1011.2777076213831</v>
      </c>
      <c r="Y14" s="159">
        <f>SUM(Y12:Y13)</f>
        <v>1365.158778532505</v>
      </c>
      <c r="Z14" s="384">
        <f>+((Y14/T14)^(1/5))-1</f>
        <v>0.18247154696654544</v>
      </c>
    </row>
    <row r="15" spans="1:28" x14ac:dyDescent="0.2">
      <c r="A15" s="6"/>
      <c r="B15" s="41"/>
      <c r="C15" s="14"/>
      <c r="D15" s="14"/>
      <c r="E15" s="14"/>
      <c r="F15" s="14"/>
      <c r="G15" s="14"/>
      <c r="H15" s="14"/>
      <c r="I15" s="14"/>
      <c r="J15" s="14"/>
      <c r="K15" s="14"/>
      <c r="L15" s="14"/>
      <c r="M15" s="147"/>
      <c r="N15" s="151"/>
      <c r="O15" s="151"/>
      <c r="P15" s="151"/>
      <c r="Q15" s="151"/>
      <c r="R15" s="151"/>
      <c r="S15" s="151"/>
      <c r="T15" s="151"/>
      <c r="U15" s="151"/>
      <c r="V15" s="151"/>
      <c r="W15" s="151"/>
      <c r="X15" s="151"/>
      <c r="Y15" s="151"/>
      <c r="Z15" s="42"/>
      <c r="AB15" s="208"/>
    </row>
    <row r="16" spans="1:28" x14ac:dyDescent="0.2">
      <c r="A16" s="135" t="s">
        <v>186</v>
      </c>
      <c r="B16" s="175"/>
      <c r="C16" s="14"/>
      <c r="D16" s="14"/>
      <c r="E16" s="14"/>
      <c r="F16" s="14"/>
      <c r="G16" s="14"/>
      <c r="H16" s="14"/>
      <c r="I16" s="14"/>
      <c r="J16" s="14"/>
      <c r="K16" s="14"/>
      <c r="L16" s="14"/>
      <c r="M16" s="14"/>
      <c r="N16" s="14"/>
      <c r="O16" s="14"/>
      <c r="P16" s="14"/>
      <c r="Q16" s="14"/>
      <c r="R16" s="14"/>
      <c r="S16" s="14"/>
      <c r="T16" s="14"/>
      <c r="U16" s="14"/>
      <c r="V16" s="14"/>
      <c r="W16" s="14"/>
      <c r="X16" s="14"/>
      <c r="Y16" s="15"/>
      <c r="Z16" s="17"/>
    </row>
    <row r="17" spans="1:29" s="188" customFormat="1" x14ac:dyDescent="0.2">
      <c r="A17" s="27" t="s">
        <v>187</v>
      </c>
      <c r="B17" s="30">
        <f>SUM('Quarterly Data 2001-2025'!C17:F17)</f>
        <v>0.8</v>
      </c>
      <c r="C17" s="28">
        <f>SUM('Quarterly Data 2001-2025'!G17:J17)</f>
        <v>2</v>
      </c>
      <c r="D17" s="28">
        <f>SUM('Quarterly Data 2001-2025'!K17:N17)</f>
        <v>1.9</v>
      </c>
      <c r="E17" s="28">
        <f>SUM('Quarterly Data 2001-2025'!O17:R17)</f>
        <v>7.3</v>
      </c>
      <c r="F17" s="28">
        <f>SUM('Quarterly Data 2001-2025'!S17:V17)</f>
        <v>33.099999999999994</v>
      </c>
      <c r="G17" s="28">
        <f>SUM('Quarterly Data 2001-2025'!W17:Z17)</f>
        <v>44.7</v>
      </c>
      <c r="H17" s="28">
        <f>SUM('Quarterly Data 2001-2025'!AA17:AD17)</f>
        <v>68.655000000000001</v>
      </c>
      <c r="I17" s="28">
        <f>SUM('Quarterly Data 2001-2025'!AE17:AH17)</f>
        <v>41.2</v>
      </c>
      <c r="J17" s="28">
        <f>SUM('Quarterly Data 2001-2025'!AI17:AL17)</f>
        <v>48.143000000000001</v>
      </c>
      <c r="K17" s="28">
        <f>SUM('Quarterly Data 2001-2025'!AM17:AP17)</f>
        <v>81</v>
      </c>
      <c r="L17" s="28">
        <v>70.400000000000006</v>
      </c>
      <c r="M17" s="28">
        <v>64</v>
      </c>
      <c r="N17" s="28">
        <f>SUM('Quarterly Data 2001-2025'!AY17:BB17)-1</f>
        <v>82</v>
      </c>
      <c r="O17" s="28">
        <f>SUM('Quarterly Data 2001-2025'!BC17:BF17)</f>
        <v>113.7</v>
      </c>
      <c r="P17" s="28">
        <v>159.69999999999999</v>
      </c>
      <c r="Q17" s="28">
        <v>167.5</v>
      </c>
      <c r="R17" s="28">
        <v>239.65</v>
      </c>
      <c r="S17" s="28">
        <v>300.91760233000002</v>
      </c>
      <c r="T17" s="28">
        <v>331.96305080999986</v>
      </c>
      <c r="U17" s="28">
        <v>417.97628681999998</v>
      </c>
      <c r="V17" s="28">
        <v>660.61257683999997</v>
      </c>
      <c r="W17" s="28">
        <v>577.12810379000041</v>
      </c>
      <c r="X17" s="28">
        <v>594.16838835999931</v>
      </c>
      <c r="Y17" s="235">
        <v>750</v>
      </c>
      <c r="Z17" s="385">
        <f t="shared" ref="Z17:Z25" si="3">+((Y17/T17)^(1/5))-1</f>
        <v>0.17704835101320571</v>
      </c>
      <c r="AA17" s="306"/>
    </row>
    <row r="18" spans="1:29" x14ac:dyDescent="0.2">
      <c r="A18" s="23" t="s">
        <v>189</v>
      </c>
      <c r="B18" s="26">
        <f>SUM('Quarterly Data 2001-2025'!C18:F18)</f>
        <v>45</v>
      </c>
      <c r="C18" s="24">
        <f>SUM('Quarterly Data 2001-2025'!G18:J18)</f>
        <v>55.7</v>
      </c>
      <c r="D18" s="24">
        <f>SUM('Quarterly Data 2001-2025'!K18:N18)</f>
        <v>54.2</v>
      </c>
      <c r="E18" s="24">
        <f>SUM('Quarterly Data 2001-2025'!O18:R18)</f>
        <v>68.599999999999994</v>
      </c>
      <c r="F18" s="24">
        <f>SUM('Quarterly Data 2001-2025'!S18:V18)</f>
        <v>93</v>
      </c>
      <c r="G18" s="24">
        <f>SUM('Quarterly Data 2001-2025'!W18:Z18)</f>
        <v>180.7</v>
      </c>
      <c r="H18" s="19">
        <f>SUM('Quarterly Data 2001-2025'!AA18:AD18)</f>
        <v>302.10000000000002</v>
      </c>
      <c r="I18" s="19">
        <f>SUM('Quarterly Data 2001-2025'!AE18:AH18)</f>
        <v>394.2</v>
      </c>
      <c r="J18" s="19">
        <f>SUM('Quarterly Data 2001-2025'!AI18:AL18)</f>
        <v>136.9</v>
      </c>
      <c r="K18" s="19">
        <f>SUM('Quarterly Data 2001-2025'!AM18:AP18)+1</f>
        <v>174</v>
      </c>
      <c r="L18" s="19">
        <f>SUM('Quarterly Data 2001-2025'!AQ18:AT18)</f>
        <v>335.70056799999998</v>
      </c>
      <c r="M18" s="19">
        <f>SUM('Quarterly Data 2001-2025'!AU18:AX18)</f>
        <v>293.68857800000001</v>
      </c>
      <c r="N18" s="19">
        <f>SUM('Quarterly Data 2001-2025'!AY18:BB18)</f>
        <v>233.12047100000001</v>
      </c>
      <c r="O18" s="19">
        <f>SUM('Quarterly Data 2001-2025'!BC18:BF18)</f>
        <v>222.483937</v>
      </c>
      <c r="P18" s="19">
        <f>SUM('Quarterly Data 2001-2025'!BG18:BJ18)</f>
        <v>163.135006</v>
      </c>
      <c r="Q18" s="19">
        <f>SUM('Quarterly Data 2001-2025'!BK18:BN18)</f>
        <v>177.19373303</v>
      </c>
      <c r="R18" s="19">
        <f>SUM('Quarterly Data 2001-2025'!BO18:BR18)</f>
        <v>189.80769764000001</v>
      </c>
      <c r="S18" s="19">
        <f>SUM('Quarterly Data 2001-2025'!BS18:BV18)</f>
        <v>212.42112645999998</v>
      </c>
      <c r="T18" s="19">
        <f>SUM('Quarterly Data 2001-2025'!BW18:BZ18)</f>
        <v>252.60072118999989</v>
      </c>
      <c r="U18" s="19">
        <f>SUM('Quarterly Data 2001-2025'!CA18:CD18)</f>
        <v>363.80239258</v>
      </c>
      <c r="V18" s="19">
        <f>SUM('Quarterly Data 2001-2025'!CE18:CH18)</f>
        <v>427.70726105999995</v>
      </c>
      <c r="W18" s="19">
        <f>SUM('Quarterly Data 2001-2025'!CI18:CL18)</f>
        <v>935.50713027000018</v>
      </c>
      <c r="X18" s="19">
        <f>SUM('Quarterly Data 2001-2025'!CM18:CP18)</f>
        <v>2540.08704218</v>
      </c>
      <c r="Y18" s="19">
        <f>SUM('Quarterly Data 2001-2025'!CQ18:CT18)</f>
        <v>2758.0544905600009</v>
      </c>
      <c r="Z18" s="382">
        <f t="shared" si="3"/>
        <v>0.61299734008018425</v>
      </c>
    </row>
    <row r="19" spans="1:29" x14ac:dyDescent="0.2">
      <c r="A19" s="23" t="s">
        <v>96</v>
      </c>
      <c r="B19" s="26">
        <f>SUM('Quarterly Data 2001-2025'!C19:F19)</f>
        <v>-17.7</v>
      </c>
      <c r="C19" s="24">
        <f>SUM('Quarterly Data 2001-2025'!G19:J19)</f>
        <v>-15.600000000000001</v>
      </c>
      <c r="D19" s="24">
        <f>SUM('Quarterly Data 2001-2025'!K19:N19)</f>
        <v>-9.0579999999999998</v>
      </c>
      <c r="E19" s="24">
        <f>SUM('Quarterly Data 2001-2025'!O19:R19)</f>
        <v>-8.8840000000000003</v>
      </c>
      <c r="F19" s="24">
        <f>SUM('Quarterly Data 2001-2025'!S19:V19)</f>
        <v>-12.545999999999999</v>
      </c>
      <c r="G19" s="24">
        <f>SUM('Quarterly Data 2001-2025'!W19:Z19)</f>
        <v>-44.856999999999999</v>
      </c>
      <c r="H19" s="19">
        <f>SUM('Quarterly Data 2001-2025'!AA19:AD19)</f>
        <v>-130.39539500000001</v>
      </c>
      <c r="I19" s="19">
        <f>SUM('Quarterly Data 2001-2025'!AE19:AH19)</f>
        <v>-204.50286300000002</v>
      </c>
      <c r="J19" s="19">
        <f>SUM('Quarterly Data 2001-2025'!AI19:AL19)</f>
        <v>-26.116951020000002</v>
      </c>
      <c r="K19" s="19">
        <f>SUM('Quarterly Data 2001-2025'!AM19:AP19)</f>
        <v>-24.143573019999998</v>
      </c>
      <c r="L19" s="19">
        <f>SUM('Quarterly Data 2001-2025'!AQ19:AT19)</f>
        <v>-96.311781019999998</v>
      </c>
      <c r="M19" s="19">
        <f>SUM('Quarterly Data 2001-2025'!AU19:AX19)</f>
        <v>-83.353935050000004</v>
      </c>
      <c r="N19" s="19">
        <f>SUM('Quarterly Data 2001-2025'!AY19:BB19)</f>
        <v>-57.746432999999996</v>
      </c>
      <c r="O19" s="19">
        <f>SUM('Quarterly Data 2001-2025'!BC19:BF19)</f>
        <v>-54.92</v>
      </c>
      <c r="P19" s="19">
        <f>SUM('Quarterly Data 2001-2025'!BG19:BJ19)</f>
        <v>-55.252000000000002</v>
      </c>
      <c r="Q19" s="19">
        <f>SUM('Quarterly Data 2001-2025'!BK19:BN19)</f>
        <v>-96.915168390000005</v>
      </c>
      <c r="R19" s="19">
        <f>SUM('Quarterly Data 2001-2025'!BO19:BR19)</f>
        <v>-110.42425214000001</v>
      </c>
      <c r="S19" s="19">
        <f>SUM('Quarterly Data 2001-2025'!BS19:BV19)</f>
        <v>-121.86219068999979</v>
      </c>
      <c r="T19" s="19">
        <f>SUM('Quarterly Data 2001-2025'!BW19:BZ19)</f>
        <v>-87.267361600000015</v>
      </c>
      <c r="U19" s="19">
        <f>SUM('Quarterly Data 2001-2025'!CA19:CD19)</f>
        <v>-80.486242719999993</v>
      </c>
      <c r="V19" s="19">
        <f>SUM('Quarterly Data 2001-2025'!CE19:CH19)</f>
        <v>-106.36026912999999</v>
      </c>
      <c r="W19" s="19">
        <f>SUM('Quarterly Data 2001-2025'!CI19:CL19)</f>
        <v>-146.53300176999994</v>
      </c>
      <c r="X19" s="19">
        <f>SUM('Quarterly Data 2001-2025'!CM19:CP19)</f>
        <v>-966.4672534599988</v>
      </c>
      <c r="Y19" s="19">
        <f>SUM('Quarterly Data 2001-2025'!CQ19:CT19)</f>
        <v>-1177.8345380500004</v>
      </c>
      <c r="Z19" s="382">
        <f t="shared" si="3"/>
        <v>0.68285418787678154</v>
      </c>
    </row>
    <row r="20" spans="1:29" s="188" customFormat="1" x14ac:dyDescent="0.2">
      <c r="A20" s="27" t="s">
        <v>27</v>
      </c>
      <c r="B20" s="30">
        <f t="shared" ref="B20:U20" si="4">SUM(B18:B19)</f>
        <v>27.3</v>
      </c>
      <c r="C20" s="28">
        <f t="shared" si="4"/>
        <v>40.1</v>
      </c>
      <c r="D20" s="28">
        <f t="shared" si="4"/>
        <v>45.142000000000003</v>
      </c>
      <c r="E20" s="28">
        <f t="shared" si="4"/>
        <v>59.715999999999994</v>
      </c>
      <c r="F20" s="28">
        <f t="shared" si="4"/>
        <v>80.454000000000008</v>
      </c>
      <c r="G20" s="28">
        <f>SUM(G18:G19)</f>
        <v>135.84299999999999</v>
      </c>
      <c r="H20" s="28">
        <f t="shared" si="4"/>
        <v>171.70460500000002</v>
      </c>
      <c r="I20" s="28">
        <f t="shared" si="4"/>
        <v>189.69713699999997</v>
      </c>
      <c r="J20" s="28">
        <f t="shared" si="4"/>
        <v>110.78304898</v>
      </c>
      <c r="K20" s="28">
        <f t="shared" si="4"/>
        <v>149.85642698000001</v>
      </c>
      <c r="L20" s="28">
        <f t="shared" si="4"/>
        <v>239.38878697999996</v>
      </c>
      <c r="M20" s="31">
        <f t="shared" si="4"/>
        <v>210.33464294999999</v>
      </c>
      <c r="N20" s="31">
        <f t="shared" si="4"/>
        <v>175.37403800000001</v>
      </c>
      <c r="O20" s="31">
        <f t="shared" si="4"/>
        <v>167.56393700000001</v>
      </c>
      <c r="P20" s="31">
        <f t="shared" si="4"/>
        <v>107.88300599999999</v>
      </c>
      <c r="Q20" s="31">
        <f t="shared" si="4"/>
        <v>80.278564639999999</v>
      </c>
      <c r="R20" s="31">
        <f t="shared" si="4"/>
        <v>79.383445500000008</v>
      </c>
      <c r="S20" s="31">
        <f t="shared" si="4"/>
        <v>90.55893577000019</v>
      </c>
      <c r="T20" s="31">
        <f t="shared" si="4"/>
        <v>165.33335958999987</v>
      </c>
      <c r="U20" s="31">
        <f t="shared" si="4"/>
        <v>283.31614986</v>
      </c>
      <c r="V20" s="31">
        <f>SUM(V18:V19)</f>
        <v>321.34699192999994</v>
      </c>
      <c r="W20" s="31">
        <f>SUM(W18:W19)</f>
        <v>788.97412850000023</v>
      </c>
      <c r="X20" s="31">
        <f>SUM(X18:X19)</f>
        <v>1573.6197887200012</v>
      </c>
      <c r="Y20" s="31">
        <f>SUM(Y18:Y19)</f>
        <v>1580.2199525100004</v>
      </c>
      <c r="Z20" s="383">
        <f t="shared" si="3"/>
        <v>0.5706210367953013</v>
      </c>
      <c r="AA20" s="306"/>
    </row>
    <row r="21" spans="1:29" x14ac:dyDescent="0.2">
      <c r="A21" s="23" t="s">
        <v>111</v>
      </c>
      <c r="B21" s="26" t="s">
        <v>34</v>
      </c>
      <c r="C21" s="24" t="s">
        <v>34</v>
      </c>
      <c r="D21" s="24" t="s">
        <v>34</v>
      </c>
      <c r="E21" s="24" t="s">
        <v>34</v>
      </c>
      <c r="F21" s="24" t="s">
        <v>34</v>
      </c>
      <c r="G21" s="24" t="s">
        <v>34</v>
      </c>
      <c r="H21" s="19" t="s">
        <v>34</v>
      </c>
      <c r="I21" s="19" t="s">
        <v>34</v>
      </c>
      <c r="J21" s="19" t="s">
        <v>34</v>
      </c>
      <c r="K21" s="19" t="s">
        <v>34</v>
      </c>
      <c r="L21" s="19" t="s">
        <v>34</v>
      </c>
      <c r="M21" s="19" t="s">
        <v>34</v>
      </c>
      <c r="N21" s="19" t="s">
        <v>34</v>
      </c>
      <c r="O21" s="19" t="s">
        <v>34</v>
      </c>
      <c r="P21" s="19" t="s">
        <v>34</v>
      </c>
      <c r="Q21" s="19">
        <f>SUM('Quarterly Data 2001-2025'!BK21:BN21)</f>
        <v>52.57</v>
      </c>
      <c r="R21" s="19">
        <f>SUM('Quarterly Data 2001-2025'!BO21:BR21)</f>
        <v>55.63</v>
      </c>
      <c r="S21" s="19">
        <f>SUM('Quarterly Data 2001-2025'!BS21:BV21)</f>
        <v>66.482328510000002</v>
      </c>
      <c r="T21" s="19">
        <f>SUM('Quarterly Data 2001-2025'!BW21:BZ21)</f>
        <v>76.287522680000009</v>
      </c>
      <c r="U21" s="19">
        <f>SUM('Quarterly Data 2001-2025'!CA21:CD21)</f>
        <v>102.60484598000001</v>
      </c>
      <c r="V21" s="19">
        <f>SUM('Quarterly Data 2001-2025'!CE21:CH21)</f>
        <v>158.59642099000001</v>
      </c>
      <c r="W21" s="19">
        <f>SUM('Quarterly Data 2001-2025'!CI21:CL21)</f>
        <v>182.34498997999998</v>
      </c>
      <c r="X21" s="19">
        <f>SUM('Quarterly Data 2001-2025'!CM21:CP21)</f>
        <v>142.18265897999999</v>
      </c>
      <c r="Y21" s="19">
        <f>SUM('Quarterly Data 2001-2025'!CQ21:CT21)</f>
        <v>179.32068935000004</v>
      </c>
      <c r="Z21" s="382">
        <f t="shared" si="3"/>
        <v>0.18641158149160875</v>
      </c>
    </row>
    <row r="22" spans="1:29" x14ac:dyDescent="0.2">
      <c r="A22" s="23" t="s">
        <v>112</v>
      </c>
      <c r="B22" s="26" t="s">
        <v>34</v>
      </c>
      <c r="C22" s="24" t="s">
        <v>34</v>
      </c>
      <c r="D22" s="24" t="s">
        <v>34</v>
      </c>
      <c r="E22" s="24" t="s">
        <v>34</v>
      </c>
      <c r="F22" s="24" t="s">
        <v>34</v>
      </c>
      <c r="G22" s="24" t="s">
        <v>34</v>
      </c>
      <c r="H22" s="19" t="s">
        <v>34</v>
      </c>
      <c r="I22" s="19" t="s">
        <v>34</v>
      </c>
      <c r="J22" s="19" t="s">
        <v>34</v>
      </c>
      <c r="K22" s="19" t="s">
        <v>34</v>
      </c>
      <c r="L22" s="19" t="s">
        <v>34</v>
      </c>
      <c r="M22" s="19" t="s">
        <v>34</v>
      </c>
      <c r="N22" s="19" t="s">
        <v>34</v>
      </c>
      <c r="O22" s="19" t="s">
        <v>34</v>
      </c>
      <c r="P22" s="19" t="s">
        <v>34</v>
      </c>
      <c r="Q22" s="19">
        <f>SUM('Quarterly Data 2001-2025'!BK22:BN22)</f>
        <v>30.85</v>
      </c>
      <c r="R22" s="19">
        <f>SUM('Quarterly Data 2001-2025'!BO22:BR22)</f>
        <v>34.53</v>
      </c>
      <c r="S22" s="19">
        <f>SUM('Quarterly Data 2001-2025'!BS22:BV22)</f>
        <v>23.597776060000001</v>
      </c>
      <c r="T22" s="19">
        <f>SUM('Quarterly Data 2001-2025'!BW22:BZ22)</f>
        <v>27.287596000000001</v>
      </c>
      <c r="U22" s="19">
        <f>SUM('Quarterly Data 2001-2025'!CA22:CD22)</f>
        <v>36.712558999999999</v>
      </c>
      <c r="V22" s="19">
        <f>SUM('Quarterly Data 2001-2025'!CE22:CH22)</f>
        <v>88.524441119999992</v>
      </c>
      <c r="W22" s="19">
        <f>SUM('Quarterly Data 2001-2025'!CI22:CL22)</f>
        <v>10.585697</v>
      </c>
      <c r="X22" s="19">
        <f>SUM('Quarterly Data 2001-2025'!CM22:CP22)</f>
        <v>16.476422999999997</v>
      </c>
      <c r="Y22" s="19">
        <f>SUM('Quarterly Data 2001-2025'!CQ22:CT22)</f>
        <v>14.80692638</v>
      </c>
      <c r="Z22" s="382">
        <f t="shared" si="3"/>
        <v>-0.11508831861967639</v>
      </c>
    </row>
    <row r="23" spans="1:29" x14ac:dyDescent="0.2">
      <c r="A23" s="23" t="s">
        <v>190</v>
      </c>
      <c r="B23" s="19" t="s">
        <v>49</v>
      </c>
      <c r="C23" s="19" t="s">
        <v>49</v>
      </c>
      <c r="D23" s="19" t="s">
        <v>49</v>
      </c>
      <c r="E23" s="19" t="s">
        <v>49</v>
      </c>
      <c r="F23" s="19" t="s">
        <v>49</v>
      </c>
      <c r="G23" s="19" t="s">
        <v>49</v>
      </c>
      <c r="H23" s="19" t="s">
        <v>49</v>
      </c>
      <c r="I23" s="19" t="s">
        <v>49</v>
      </c>
      <c r="J23" s="19" t="s">
        <v>49</v>
      </c>
      <c r="K23" s="19" t="s">
        <v>49</v>
      </c>
      <c r="L23" s="19" t="s">
        <v>49</v>
      </c>
      <c r="M23" s="19" t="s">
        <v>49</v>
      </c>
      <c r="N23" s="19" t="s">
        <v>49</v>
      </c>
      <c r="O23" s="19" t="s">
        <v>49</v>
      </c>
      <c r="P23" s="19" t="s">
        <v>49</v>
      </c>
      <c r="Q23" s="19">
        <f>SUM('Quarterly Data 2001-2025'!BK23:BN23)</f>
        <v>93.695191560000453</v>
      </c>
      <c r="R23" s="19">
        <f>SUM('Quarterly Data 2001-2025'!BO23:BR23)</f>
        <v>93.197543430000323</v>
      </c>
      <c r="S23" s="19">
        <f>SUM('Quarterly Data 2001-2025'!BS23:BV23)</f>
        <v>101.20223759000015</v>
      </c>
      <c r="T23" s="19">
        <f>SUM('Quarterly Data 2001-2025'!BW23:BZ23)</f>
        <v>111.17131880000012</v>
      </c>
      <c r="U23" s="19">
        <f>SUM('Quarterly Data 2001-2025'!CA23:CD23)</f>
        <v>126.39655367000032</v>
      </c>
      <c r="V23" s="19">
        <f>SUM('Quarterly Data 2001-2025'!CE23:CH23)</f>
        <v>176.65187520000001</v>
      </c>
      <c r="W23" s="19">
        <f>SUM('Quarterly Data 2001-2025'!CI23:CL23)</f>
        <v>246.51192401999947</v>
      </c>
      <c r="X23" s="19">
        <f>SUM('Quarterly Data 2001-2025'!CM23:CP23)</f>
        <v>252.99780267000006</v>
      </c>
      <c r="Y23" s="19">
        <f>SUM('Quarterly Data 2001-2025'!CQ23:CT23)</f>
        <v>218.73156229999981</v>
      </c>
      <c r="Z23" s="382">
        <f t="shared" si="3"/>
        <v>0.14494266577531478</v>
      </c>
    </row>
    <row r="24" spans="1:29" x14ac:dyDescent="0.2">
      <c r="A24" s="23" t="s">
        <v>191</v>
      </c>
      <c r="B24" s="19" t="s">
        <v>49</v>
      </c>
      <c r="C24" s="19" t="s">
        <v>49</v>
      </c>
      <c r="D24" s="19" t="s">
        <v>49</v>
      </c>
      <c r="E24" s="19" t="s">
        <v>49</v>
      </c>
      <c r="F24" s="19" t="s">
        <v>49</v>
      </c>
      <c r="G24" s="19" t="s">
        <v>49</v>
      </c>
      <c r="H24" s="19" t="s">
        <v>49</v>
      </c>
      <c r="I24" s="19" t="s">
        <v>49</v>
      </c>
      <c r="J24" s="19" t="s">
        <v>49</v>
      </c>
      <c r="K24" s="19" t="s">
        <v>49</v>
      </c>
      <c r="L24" s="19" t="s">
        <v>49</v>
      </c>
      <c r="M24" s="19" t="s">
        <v>49</v>
      </c>
      <c r="N24" s="19" t="s">
        <v>49</v>
      </c>
      <c r="O24" s="19" t="s">
        <v>49</v>
      </c>
      <c r="P24" s="19" t="s">
        <v>49</v>
      </c>
      <c r="Q24" s="19">
        <f>SUM('Quarterly Data 2001-2025'!BK24:BN24)</f>
        <v>-69.753584859999989</v>
      </c>
      <c r="R24" s="19">
        <f>SUM('Quarterly Data 2001-2025'!BO24:BR24)</f>
        <v>-78.680150159999982</v>
      </c>
      <c r="S24" s="19">
        <f>SUM('Quarterly Data 2001-2025'!BS24:BV24)</f>
        <v>-97.856370469999987</v>
      </c>
      <c r="T24" s="19">
        <f>SUM('Quarterly Data 2001-2025'!BW24:BZ24)</f>
        <v>-109.64331969999999</v>
      </c>
      <c r="U24" s="19">
        <f>SUM('Quarterly Data 2001-2025'!CA24:CD24)</f>
        <v>-142.71433100270346</v>
      </c>
      <c r="V24" s="19">
        <f>SUM('Quarterly Data 2001-2025'!CE24:CH24)</f>
        <v>-186.06362284063928</v>
      </c>
      <c r="W24" s="19">
        <f>SUM('Quarterly Data 2001-2025'!CI24:CL24)</f>
        <v>-155.87245524999645</v>
      </c>
      <c r="X24" s="19">
        <f>SUM('Quarterly Data 2001-2025'!CM24:CP24)</f>
        <v>-152.66122909999939</v>
      </c>
      <c r="Y24" s="19">
        <f>SUM('Quarterly Data 2001-2025'!CQ24:CT24)</f>
        <v>-219.48323427999901</v>
      </c>
      <c r="Z24" s="382">
        <f t="shared" si="3"/>
        <v>0.14890424740853314</v>
      </c>
    </row>
    <row r="25" spans="1:29" s="189" customFormat="1" ht="15" x14ac:dyDescent="0.2">
      <c r="A25" s="166" t="s">
        <v>203</v>
      </c>
      <c r="B25" s="183">
        <f>SUM('Quarterly Data 2001-2025'!C25:F25)</f>
        <v>9.4000000000000021</v>
      </c>
      <c r="C25" s="167">
        <f>SUM('Quarterly Data 2001-2025'!G25:J25)</f>
        <v>5.1000000000000032</v>
      </c>
      <c r="D25" s="167">
        <f>SUM('Quarterly Data 2001-2025'!K25:N25)</f>
        <v>10.299999999999997</v>
      </c>
      <c r="E25" s="167">
        <f>SUM('Quarterly Data 2001-2025'!O25:R25)</f>
        <v>17.499999999999996</v>
      </c>
      <c r="F25" s="167">
        <f>SUM('Quarterly Data 2001-2025'!S25:V25)</f>
        <v>13.299999999999997</v>
      </c>
      <c r="G25" s="167">
        <f>SUM('Quarterly Data 2001-2025'!W25:Z25)</f>
        <v>30.299999999999983</v>
      </c>
      <c r="H25" s="184">
        <f>SUM('Quarterly Data 2001-2025'!AA25:AD25)</f>
        <v>57.78</v>
      </c>
      <c r="I25" s="184">
        <f>SUM('Quarterly Data 2001-2025'!AE25:AH25)</f>
        <v>44.579999999999984</v>
      </c>
      <c r="J25" s="184">
        <f>SUM('Quarterly Data 2001-2025'!AI25:AL25)</f>
        <v>48.687999999999988</v>
      </c>
      <c r="K25" s="184">
        <f>SUM('Quarterly Data 2001-2025'!AM25:AP25)</f>
        <v>63</v>
      </c>
      <c r="L25" s="184">
        <f>SUM('Quarterly Data 2001-2025'!AQ25:AT25)</f>
        <v>62.299432000000003</v>
      </c>
      <c r="M25" s="184">
        <f>SUM('Quarterly Data 2001-2025'!AU25:AX25)</f>
        <v>65.311421999999993</v>
      </c>
      <c r="N25" s="184">
        <f>SUM('Quarterly Data 2001-2025'!AY25:BB25)</f>
        <v>75.879529000000005</v>
      </c>
      <c r="O25" s="184">
        <f>SUM('Quarterly Data 2001-2025'!BC25:BF25)</f>
        <v>110.90606299999999</v>
      </c>
      <c r="P25" s="184">
        <f>SUM('Quarterly Data 2001-2025'!BG25:BJ25)</f>
        <v>148.16499400000001</v>
      </c>
      <c r="Q25" s="184">
        <f>SUM('Quarterly Data 2001-2025'!BK25:BN25)</f>
        <v>23.941606700000456</v>
      </c>
      <c r="R25" s="184">
        <f>SUM('Quarterly Data 2001-2025'!BO25:BR25)</f>
        <v>14.517393270000341</v>
      </c>
      <c r="S25" s="184">
        <f>SUM('Quarterly Data 2001-2025'!BS25:BV25)</f>
        <v>3.3458671200001753</v>
      </c>
      <c r="T25" s="184">
        <f>SUM('Quarterly Data 2001-2025'!BW25:BZ25)</f>
        <v>1.5279991000001409</v>
      </c>
      <c r="U25" s="184">
        <f>SUM('Quarterly Data 2001-2025'!CA25:CD25)</f>
        <v>-16.317777332703162</v>
      </c>
      <c r="V25" s="184">
        <f>SUM('Quarterly Data 2001-2025'!CE25:CH25)</f>
        <v>-9.4117476406393052</v>
      </c>
      <c r="W25" s="184">
        <f>SUM('Quarterly Data 2001-2025'!CI25:CL25)</f>
        <v>90.63946877000302</v>
      </c>
      <c r="X25" s="184">
        <f>SUM('Quarterly Data 2001-2025'!CM25:CP25)</f>
        <v>100.33657357000067</v>
      </c>
      <c r="Y25" s="184">
        <f>SUM('Quarterly Data 2001-2025'!CQ25:CT25)</f>
        <v>-0.75167197999918756</v>
      </c>
      <c r="Z25" s="386">
        <f t="shared" si="3"/>
        <v>-1.8677228871338054</v>
      </c>
      <c r="AC25" s="202"/>
    </row>
    <row r="26" spans="1:29" x14ac:dyDescent="0.2">
      <c r="A26" s="23" t="s">
        <v>28</v>
      </c>
      <c r="B26" s="26">
        <f>SUM('Quarterly Data 2001-2025'!C26:F26)</f>
        <v>2.1</v>
      </c>
      <c r="C26" s="24">
        <f>SUM('Quarterly Data 2001-2025'!G26:J26)</f>
        <v>4.7</v>
      </c>
      <c r="D26" s="24">
        <f>SUM('Quarterly Data 2001-2025'!K26:N26)</f>
        <v>0.7</v>
      </c>
      <c r="E26" s="24">
        <f>SUM('Quarterly Data 2001-2025'!O26:R26)</f>
        <v>0.8</v>
      </c>
      <c r="F26" s="24">
        <f>SUM('Quarterly Data 2001-2025'!S26:V26)</f>
        <v>0.30000000000000004</v>
      </c>
      <c r="G26" s="24">
        <f>SUM('Quarterly Data 2001-2025'!W26:Z26)</f>
        <v>0.7</v>
      </c>
      <c r="H26" s="24">
        <f>SUM('Quarterly Data 2001-2025'!AA26:AD26)</f>
        <v>0.71900000000000008</v>
      </c>
      <c r="I26" s="24">
        <f>SUM('Quarterly Data 2001-2025'!AE26:AH26)</f>
        <v>1.3</v>
      </c>
      <c r="J26" s="24">
        <f>SUM('Quarterly Data 2001-2025'!AI26:AL26)</f>
        <v>1.4</v>
      </c>
      <c r="K26" s="24">
        <f>SUM('Quarterly Data 2001-2025'!AM26:AP26)</f>
        <v>-9</v>
      </c>
      <c r="L26" s="184">
        <f>SUM('Quarterly Data 2001-2025'!AQ26:AT26)</f>
        <v>1</v>
      </c>
      <c r="M26" s="19">
        <v>-7</v>
      </c>
      <c r="N26" s="19">
        <f>SUM('Quarterly Data 2001-2025'!AY26:BB26)</f>
        <v>1</v>
      </c>
      <c r="O26" s="19">
        <f>SUM('Quarterly Data 2001-2025'!BC26:BF26)</f>
        <v>0.16364570000000003</v>
      </c>
      <c r="P26" s="19">
        <f>SUM('Quarterly Data 2001-2025'!BG26:BJ26)</f>
        <v>1.5629999999999999</v>
      </c>
      <c r="Q26" s="19">
        <f>SUM('Quarterly Data 2001-2025'!BK26:BN26)</f>
        <v>3.4826680099999998</v>
      </c>
      <c r="R26" s="19">
        <f>SUM('Quarterly Data 2001-2025'!BO26:BR26)</f>
        <v>2.483725699999999</v>
      </c>
      <c r="S26" s="19">
        <f>SUM('Quarterly Data 2001-2025'!BS26:BV26)</f>
        <v>2.0275584699999984</v>
      </c>
      <c r="T26" s="19">
        <f>SUM('Quarterly Data 2001-2025'!BW26:BZ26)</f>
        <v>0.47281076000000022</v>
      </c>
      <c r="U26" s="24">
        <f>SUM('Quarterly Data 2001-2025'!CA26:CD26)</f>
        <v>67.185015659999991</v>
      </c>
      <c r="V26" s="19">
        <f>SUM('Quarterly Data 2001-2025'!CE26:CH26)</f>
        <v>0.3392581399999981</v>
      </c>
      <c r="W26" s="24">
        <f>SUM('Quarterly Data 2001-2025'!CI26:CL26)</f>
        <v>-0.69887800000000033</v>
      </c>
      <c r="X26" s="24">
        <f>SUM('Quarterly Data 2001-2025'!CM26:CP26)</f>
        <v>-1.0422428799999994</v>
      </c>
      <c r="Y26" s="24">
        <f>SUM('Quarterly Data 2001-2025'!CQ26:CT26)</f>
        <v>4.1040242600000036</v>
      </c>
      <c r="Z26" s="382" t="s">
        <v>34</v>
      </c>
      <c r="AA26" s="305"/>
    </row>
    <row r="27" spans="1:29" x14ac:dyDescent="0.2">
      <c r="A27" s="145" t="s">
        <v>42</v>
      </c>
      <c r="B27" s="21">
        <f>SUM('Quarterly Data 2001-2025'!C27:F27)</f>
        <v>3.5000000000000004</v>
      </c>
      <c r="C27" s="21">
        <f>SUM('Quarterly Data 2001-2025'!G27:J27)</f>
        <v>0.89999999999999991</v>
      </c>
      <c r="D27" s="21">
        <f>SUM('Quarterly Data 2001-2025'!K27:N27)</f>
        <v>2.5</v>
      </c>
      <c r="E27" s="21">
        <f>SUM('Quarterly Data 2001-2025'!O27:R27)</f>
        <v>1.4000000000000001</v>
      </c>
      <c r="F27" s="21">
        <f>SUM('Quarterly Data 2001-2025'!S27:V27)</f>
        <v>2.5</v>
      </c>
      <c r="G27" s="21">
        <f>SUM('Quarterly Data 2001-2025'!W27:Z27)</f>
        <v>1.5999999999999999</v>
      </c>
      <c r="H27" s="21">
        <f>SUM('Quarterly Data 2001-2025'!AA27:AD27)</f>
        <v>0</v>
      </c>
      <c r="I27" s="21">
        <f>SUM('Quarterly Data 2001-2025'!AE27:AH27)</f>
        <v>0</v>
      </c>
      <c r="J27" s="21">
        <f>SUM('Quarterly Data 2001-2025'!AI27:AL27)</f>
        <v>0</v>
      </c>
      <c r="K27" s="21">
        <f>SUM('Quarterly Data 2001-2025'!AM27:AP27)</f>
        <v>0</v>
      </c>
      <c r="L27" s="19">
        <f>SUM('Quarterly Data 2001-2025'!AQ27:AT27)</f>
        <v>4</v>
      </c>
      <c r="M27" s="19">
        <f>SUM('Quarterly Data 2001-2025'!AU27:AX27)</f>
        <v>2</v>
      </c>
      <c r="N27" s="19">
        <f>SUM('Quarterly Data 2001-2025'!AY27:BB27)</f>
        <v>0</v>
      </c>
      <c r="O27" s="19">
        <f>SUM('Quarterly Data 2001-2025'!BC27:BF27)</f>
        <v>1.9E-2</v>
      </c>
      <c r="P27" s="19">
        <f>SUM('Quarterly Data 2001-2025'!BG27:BJ27)</f>
        <v>0</v>
      </c>
      <c r="Q27" s="21">
        <f>SUM('Quarterly Data 2001-2025'!BK27:BN27)</f>
        <v>0</v>
      </c>
      <c r="R27" s="21">
        <f>SUM('Quarterly Data 2001-2025'!BO27:BR27)</f>
        <v>0.12053926000000001</v>
      </c>
      <c r="S27" s="21">
        <f>SUM('Quarterly Data 2001-2025'!BS27:BV27)</f>
        <v>0.14042399999999999</v>
      </c>
      <c r="T27" s="21">
        <f>SUM('Quarterly Data 2001-2025'!BW27:BZ27)</f>
        <v>6.39097E-2</v>
      </c>
      <c r="U27" s="21">
        <f>SUM('Quarterly Data 2001-2025'!CA27:CD27)</f>
        <v>6.5542400000000001E-2</v>
      </c>
      <c r="V27" s="21">
        <f>SUM('Quarterly Data 2001-2025'!CE27:CH27)</f>
        <v>0</v>
      </c>
      <c r="W27" s="21">
        <f>SUM('Quarterly Data 2001-2025'!CI27:CL27)</f>
        <v>3.5820919999999998</v>
      </c>
      <c r="X27" s="21">
        <f>SUM('Quarterly Data 2001-2025'!CM27:CP27)</f>
        <v>0.24507999999999999</v>
      </c>
      <c r="Y27" s="21">
        <f>SUM('Quarterly Data 2001-2025'!CQ27:CT27)</f>
        <v>6.9382950000000001</v>
      </c>
      <c r="Z27" s="382" t="s">
        <v>34</v>
      </c>
      <c r="AA27" s="305"/>
    </row>
    <row r="28" spans="1:29" x14ac:dyDescent="0.2">
      <c r="A28" s="185" t="s">
        <v>150</v>
      </c>
      <c r="B28" s="28">
        <f>B25+B26+B27</f>
        <v>15.000000000000002</v>
      </c>
      <c r="C28" s="28">
        <f t="shared" ref="C28:N28" si="5">C25+C26+C27</f>
        <v>10.700000000000005</v>
      </c>
      <c r="D28" s="28">
        <f t="shared" si="5"/>
        <v>13.499999999999996</v>
      </c>
      <c r="E28" s="28">
        <f t="shared" si="5"/>
        <v>19.699999999999996</v>
      </c>
      <c r="F28" s="28">
        <f t="shared" si="5"/>
        <v>16.099999999999998</v>
      </c>
      <c r="G28" s="28">
        <f t="shared" si="5"/>
        <v>32.59999999999998</v>
      </c>
      <c r="H28" s="28">
        <f t="shared" si="5"/>
        <v>58.499000000000002</v>
      </c>
      <c r="I28" s="28">
        <f t="shared" si="5"/>
        <v>45.879999999999981</v>
      </c>
      <c r="J28" s="28">
        <f t="shared" si="5"/>
        <v>50.087999999999987</v>
      </c>
      <c r="K28" s="28">
        <f t="shared" si="5"/>
        <v>54</v>
      </c>
      <c r="L28" s="28">
        <f t="shared" si="5"/>
        <v>67.299431999999996</v>
      </c>
      <c r="M28" s="28">
        <f t="shared" si="5"/>
        <v>60.311421999999993</v>
      </c>
      <c r="N28" s="28">
        <f t="shared" si="5"/>
        <v>76.879529000000005</v>
      </c>
      <c r="O28" s="28">
        <f>O25+O26+O27</f>
        <v>111.0887087</v>
      </c>
      <c r="P28" s="28">
        <f>P25+P26+P27</f>
        <v>149.727994</v>
      </c>
      <c r="Q28" s="28">
        <f t="shared" ref="Q28:X28" si="6">Q21+Q22+Q23+Q26+Q27+Q24</f>
        <v>110.84427471000046</v>
      </c>
      <c r="R28" s="28">
        <f t="shared" si="6"/>
        <v>107.28165823000032</v>
      </c>
      <c r="S28" s="28">
        <f t="shared" si="6"/>
        <v>95.593954160000166</v>
      </c>
      <c r="T28" s="28">
        <f t="shared" si="6"/>
        <v>105.63983824000012</v>
      </c>
      <c r="U28" s="28">
        <f t="shared" si="6"/>
        <v>190.25018570729688</v>
      </c>
      <c r="V28" s="28">
        <f t="shared" si="6"/>
        <v>238.04837260936071</v>
      </c>
      <c r="W28" s="28">
        <f t="shared" si="6"/>
        <v>286.45336975000305</v>
      </c>
      <c r="X28" s="28">
        <f t="shared" si="6"/>
        <v>258.19849267000063</v>
      </c>
      <c r="Y28" s="28">
        <f>Y21+Y22+Y23+Y26+Y27+Y24</f>
        <v>204.41826301000083</v>
      </c>
      <c r="Z28" s="383">
        <f>+((Y28/T28)^(1/5))-1</f>
        <v>0.14113859270481988</v>
      </c>
      <c r="AA28" s="306"/>
    </row>
    <row r="29" spans="1:29" x14ac:dyDescent="0.2">
      <c r="A29" s="176" t="s">
        <v>188</v>
      </c>
      <c r="B29" s="159">
        <f>B17+B20+B28</f>
        <v>43.1</v>
      </c>
      <c r="C29" s="159">
        <f t="shared" ref="C29:T29" si="7">C17+C20+C28</f>
        <v>52.800000000000004</v>
      </c>
      <c r="D29" s="159">
        <f t="shared" si="7"/>
        <v>60.542000000000002</v>
      </c>
      <c r="E29" s="159">
        <f t="shared" si="7"/>
        <v>86.71599999999998</v>
      </c>
      <c r="F29" s="159">
        <f t="shared" si="7"/>
        <v>129.654</v>
      </c>
      <c r="G29" s="159">
        <f t="shared" si="7"/>
        <v>213.14299999999997</v>
      </c>
      <c r="H29" s="159">
        <f t="shared" si="7"/>
        <v>298.85860500000001</v>
      </c>
      <c r="I29" s="159">
        <f t="shared" si="7"/>
        <v>276.77713699999998</v>
      </c>
      <c r="J29" s="159">
        <f t="shared" si="7"/>
        <v>209.01404898000001</v>
      </c>
      <c r="K29" s="159">
        <f t="shared" si="7"/>
        <v>284.85642698000004</v>
      </c>
      <c r="L29" s="159">
        <f t="shared" si="7"/>
        <v>377.08821897999997</v>
      </c>
      <c r="M29" s="159">
        <f t="shared" si="7"/>
        <v>334.64606494999998</v>
      </c>
      <c r="N29" s="159">
        <f t="shared" si="7"/>
        <v>334.25356700000003</v>
      </c>
      <c r="O29" s="159">
        <f t="shared" si="7"/>
        <v>392.35264569999998</v>
      </c>
      <c r="P29" s="159">
        <f t="shared" si="7"/>
        <v>417.31099999999992</v>
      </c>
      <c r="Q29" s="159">
        <f t="shared" si="7"/>
        <v>358.6228393500005</v>
      </c>
      <c r="R29" s="159">
        <f t="shared" si="7"/>
        <v>426.31510373000037</v>
      </c>
      <c r="S29" s="159">
        <f t="shared" si="7"/>
        <v>487.07049226000038</v>
      </c>
      <c r="T29" s="159">
        <f t="shared" si="7"/>
        <v>602.9362486399998</v>
      </c>
      <c r="U29" s="159">
        <f>U17+U20+U28</f>
        <v>891.54262238729689</v>
      </c>
      <c r="V29" s="159">
        <f>V17+V20+V28</f>
        <v>1220.0079413793605</v>
      </c>
      <c r="W29" s="159">
        <f>W17+W20+W28</f>
        <v>1652.5556020400038</v>
      </c>
      <c r="X29" s="159">
        <f>X17+X20+X28</f>
        <v>2425.9866697500011</v>
      </c>
      <c r="Y29" s="159">
        <f>Y17+Y20+Y28</f>
        <v>2534.6382155200013</v>
      </c>
      <c r="Z29" s="384">
        <f>+((Y29/T29)^(1/5))-1</f>
        <v>0.33268931833552906</v>
      </c>
    </row>
    <row r="30" spans="1:29" x14ac:dyDescent="0.2">
      <c r="A30" s="213"/>
      <c r="Z30" s="387"/>
    </row>
    <row r="31" spans="1:29" s="188" customFormat="1" x14ac:dyDescent="0.2">
      <c r="A31" s="5" t="s">
        <v>90</v>
      </c>
      <c r="B31" s="38">
        <f>B14+B29</f>
        <v>94.9</v>
      </c>
      <c r="C31" s="38">
        <f>C14+C29</f>
        <v>122.60000000000002</v>
      </c>
      <c r="D31" s="38">
        <f t="shared" ref="D31:U31" si="8">D14+D29</f>
        <v>149.542</v>
      </c>
      <c r="E31" s="38">
        <f t="shared" si="8"/>
        <v>209.81599999999997</v>
      </c>
      <c r="F31" s="38">
        <f t="shared" si="8"/>
        <v>283.85399999999998</v>
      </c>
      <c r="G31" s="38">
        <f t="shared" si="8"/>
        <v>452.84299999999996</v>
      </c>
      <c r="H31" s="38">
        <f t="shared" si="8"/>
        <v>554.47360500000002</v>
      </c>
      <c r="I31" s="38">
        <f t="shared" si="8"/>
        <v>506.10713699999997</v>
      </c>
      <c r="J31" s="38">
        <f t="shared" si="8"/>
        <v>508.88304898000001</v>
      </c>
      <c r="K31" s="38">
        <f t="shared" si="8"/>
        <v>613.75642698000001</v>
      </c>
      <c r="L31" s="38">
        <f t="shared" si="8"/>
        <v>682.18821897999987</v>
      </c>
      <c r="M31" s="38">
        <f t="shared" si="8"/>
        <v>550.64606494999998</v>
      </c>
      <c r="N31" s="38">
        <f t="shared" si="8"/>
        <v>579.25356699999998</v>
      </c>
      <c r="O31" s="38">
        <f t="shared" si="8"/>
        <v>678.05264569999997</v>
      </c>
      <c r="P31" s="38">
        <f t="shared" si="8"/>
        <v>896.71100000000001</v>
      </c>
      <c r="Q31" s="38">
        <f t="shared" si="8"/>
        <v>908.60283935000052</v>
      </c>
      <c r="R31" s="38">
        <f t="shared" si="8"/>
        <v>975.47510373000046</v>
      </c>
      <c r="S31" s="38">
        <f t="shared" si="8"/>
        <v>1048.9968250800002</v>
      </c>
      <c r="T31" s="38">
        <f t="shared" si="8"/>
        <v>1193.4495290299981</v>
      </c>
      <c r="U31" s="38">
        <f t="shared" si="8"/>
        <v>2348.7800692672936</v>
      </c>
      <c r="V31" s="38">
        <f>V14+V29</f>
        <v>3301.4629726393614</v>
      </c>
      <c r="W31" s="38">
        <f>W14+W29</f>
        <v>2972.7692743300095</v>
      </c>
      <c r="X31" s="38">
        <f>X14+X29</f>
        <v>3437.2643773713844</v>
      </c>
      <c r="Y31" s="38">
        <f>Y14+Y29</f>
        <v>3899.7969940525063</v>
      </c>
      <c r="Z31" s="388">
        <f>+((Y31/T31)^(1/5))-1</f>
        <v>0.2672070737541401</v>
      </c>
      <c r="AA31" s="306"/>
      <c r="AB31" s="207"/>
    </row>
    <row r="32" spans="1:29" x14ac:dyDescent="0.2">
      <c r="A32" s="6"/>
      <c r="B32" s="41"/>
      <c r="C32" s="14"/>
      <c r="D32" s="14"/>
      <c r="E32" s="14"/>
      <c r="F32" s="14"/>
      <c r="G32" s="14"/>
      <c r="H32" s="14"/>
      <c r="I32" s="14"/>
      <c r="J32" s="14"/>
      <c r="K32" s="14"/>
      <c r="L32" s="14"/>
      <c r="M32" s="147"/>
      <c r="N32" s="151"/>
      <c r="O32" s="151"/>
      <c r="P32" s="151"/>
      <c r="Q32" s="151"/>
      <c r="R32" s="151"/>
      <c r="S32" s="151"/>
      <c r="T32" s="151"/>
      <c r="U32" s="151"/>
      <c r="V32" s="151"/>
      <c r="W32" s="151"/>
      <c r="X32" s="151"/>
      <c r="Y32" s="151"/>
      <c r="Z32" s="42"/>
      <c r="AB32" s="208"/>
    </row>
    <row r="33" spans="1:28" x14ac:dyDescent="0.2">
      <c r="A33" s="23" t="s">
        <v>113</v>
      </c>
      <c r="B33" s="26">
        <f>SUM('Quarterly Data 2001-2025'!C33:F33)</f>
        <v>-37.052399999999999</v>
      </c>
      <c r="C33" s="24">
        <f>SUM('Quarterly Data 2001-2025'!G33:J33)</f>
        <v>-37.646000000000001</v>
      </c>
      <c r="D33" s="24">
        <f>SUM('Quarterly Data 2001-2025'!K33:N33)</f>
        <v>-41.148000000000003</v>
      </c>
      <c r="E33" s="24">
        <f>SUM('Quarterly Data 2001-2025'!O33:R33)</f>
        <v>-47.688000000000002</v>
      </c>
      <c r="F33" s="24">
        <f>SUM('Quarterly Data 2001-2025'!S33:V33)</f>
        <v>-58.911999999999999</v>
      </c>
      <c r="G33" s="24">
        <f>SUM('Quarterly Data 2001-2025'!W33:Z33)</f>
        <v>-95.96</v>
      </c>
      <c r="H33" s="24">
        <f>SUM('Quarterly Data 2001-2025'!AA33:AD33)</f>
        <v>-119.43899879</v>
      </c>
      <c r="I33" s="24">
        <f>SUM('Quarterly Data 2001-2025'!AE33:AH33)</f>
        <v>-137.48495407000001</v>
      </c>
      <c r="J33" s="24">
        <f>SUM('Quarterly Data 2001-2025'!AI33:AL33)</f>
        <v>-128.18071938999998</v>
      </c>
      <c r="K33" s="24">
        <f>SUM('Quarterly Data 2001-2025'!AM33:AP33)</f>
        <v>-165.23130405999996</v>
      </c>
      <c r="L33" s="24">
        <f>SUM('Quarterly Data 2001-2025'!AQ33:AT33)</f>
        <v>-188.78086732</v>
      </c>
      <c r="M33" s="24">
        <f>SUM('Quarterly Data 2001-2025'!AU33:AX33)</f>
        <v>-206.90358169999996</v>
      </c>
      <c r="N33" s="24">
        <f>SUM('Quarterly Data 2001-2025'!AY33:BB33)</f>
        <v>-210.3</v>
      </c>
      <c r="O33" s="24">
        <f>SUM('Quarterly Data 2001-2025'!BC33:BF33)</f>
        <v>-233.82</v>
      </c>
      <c r="P33" s="24">
        <f>SUM('Quarterly Data 2001-2025'!BG33:BJ33)</f>
        <v>-266.18</v>
      </c>
      <c r="Q33" s="24">
        <f>SUM('Quarterly Data 2001-2025'!BK33:BN33)</f>
        <v>-290.45000000000005</v>
      </c>
      <c r="R33" s="24">
        <f>SUM('Quarterly Data 2001-2025'!BO33:BR33)</f>
        <v>-340.07999999999993</v>
      </c>
      <c r="S33" s="24">
        <f>SUM('Quarterly Data 2001-2025'!BS33:BV33)</f>
        <v>-367.34749507999982</v>
      </c>
      <c r="T33" s="24">
        <f>SUM('Quarterly Data 2001-2025'!BW33:BZ33)</f>
        <v>-414.45556788438796</v>
      </c>
      <c r="U33" s="24">
        <f>SUM('Quarterly Data 2001-2025'!CA33:CD33)</f>
        <v>-468.73503128013169</v>
      </c>
      <c r="V33" s="24">
        <f>SUM('Quarterly Data 2001-2025'!CE33:CH33)</f>
        <v>-565.50791839548015</v>
      </c>
      <c r="W33" s="24">
        <f>SUM('Quarterly Data 2001-2025'!CI33:CL33)</f>
        <v>-636.2015390800002</v>
      </c>
      <c r="X33" s="24">
        <f>SUM('Quarterly Data 2001-2025'!CM33:CP33)</f>
        <v>-704.00960262000001</v>
      </c>
      <c r="Y33" s="24">
        <f>SUM('Quarterly Data 2001-2025'!CQ33:CT33)</f>
        <v>-787.88550217</v>
      </c>
      <c r="Z33" s="50">
        <f>+((Y33/T33)^(1/5))-1</f>
        <v>0.13709572335272946</v>
      </c>
      <c r="AA33" s="306"/>
    </row>
    <row r="34" spans="1:28" x14ac:dyDescent="0.2">
      <c r="A34" s="18" t="s">
        <v>114</v>
      </c>
      <c r="B34" s="43">
        <f>SUM('Quarterly Data 2001-2025'!C34:F34)</f>
        <v>-2.9914000000000001</v>
      </c>
      <c r="C34" s="19">
        <f>SUM('Quarterly Data 2001-2025'!G34:J34)</f>
        <v>-5.242</v>
      </c>
      <c r="D34" s="19">
        <f>SUM('Quarterly Data 2001-2025'!K34:N34)</f>
        <v>-5.5049999999999999</v>
      </c>
      <c r="E34" s="19">
        <f>SUM('Quarterly Data 2001-2025'!O34:R34)</f>
        <v>-10.077000000000002</v>
      </c>
      <c r="F34" s="19">
        <f>SUM('Quarterly Data 2001-2025'!S34:V34)</f>
        <v>-19.420000000000002</v>
      </c>
      <c r="G34" s="19">
        <f>SUM('Quarterly Data 2001-2025'!W34:Z34)</f>
        <v>-42.737000000000002</v>
      </c>
      <c r="H34" s="19">
        <f>SUM('Quarterly Data 2001-2025'!AA34:AD34)</f>
        <v>-49.399032161000001</v>
      </c>
      <c r="I34" s="19">
        <f>SUM('Quarterly Data 2001-2025'!AE34:AH34)</f>
        <v>-31.194073780000004</v>
      </c>
      <c r="J34" s="19">
        <f>SUM('Quarterly Data 2001-2025'!AI34:AL34)</f>
        <v>-22.245648760000002</v>
      </c>
      <c r="K34" s="19">
        <f>SUM('Quarterly Data 2001-2025'!AM34:AP34)</f>
        <v>-23.34395327</v>
      </c>
      <c r="L34" s="19">
        <f>SUM('Quarterly Data 2001-2025'!AQ34:AT34)</f>
        <v>-23.20240566</v>
      </c>
      <c r="M34" s="19">
        <f>SUM('Quarterly Data 2001-2025'!AU34:AX34)</f>
        <v>-20.977883630000001</v>
      </c>
      <c r="N34" s="19">
        <f>SUM('Quarterly Data 2001-2025'!AY34:BB34)</f>
        <v>-15.010000000000002</v>
      </c>
      <c r="O34" s="19">
        <f>SUM('Quarterly Data 2001-2025'!BC34:BF34)</f>
        <v>-19.57</v>
      </c>
      <c r="P34" s="19">
        <f>SUM('Quarterly Data 2001-2025'!BG34:BJ34)</f>
        <v>-18.25</v>
      </c>
      <c r="Q34" s="19">
        <f>SUM('Quarterly Data 2001-2025'!BK34:BN34)</f>
        <v>-21.66</v>
      </c>
      <c r="R34" s="19">
        <f>SUM('Quarterly Data 2001-2025'!BO34:BR34)</f>
        <v>-18.310000000000002</v>
      </c>
      <c r="S34" s="20">
        <f>SUM('Quarterly Data 2001-2025'!BS34:BV34)</f>
        <v>-16.855962690000002</v>
      </c>
      <c r="T34" s="19">
        <f>SUM('Quarterly Data 2001-2025'!BW34:BZ34)</f>
        <v>-18.586831700000001</v>
      </c>
      <c r="U34" s="19">
        <f>SUM('Quarterly Data 2001-2025'!CA34:CD34)</f>
        <v>-21.814807559999998</v>
      </c>
      <c r="V34" s="19">
        <f>SUM('Quarterly Data 2001-2025'!CE34:CH34)</f>
        <v>-24.406802847400318</v>
      </c>
      <c r="W34" s="19">
        <f>SUM('Quarterly Data 2001-2025'!CI34:CL34)</f>
        <v>-28.05463766259966</v>
      </c>
      <c r="X34" s="19">
        <f>SUM('Quarterly Data 2001-2025'!CM34:CP34)</f>
        <v>-28.272130069999996</v>
      </c>
      <c r="Y34" s="19">
        <f>SUM('Quarterly Data 2001-2025'!CQ34:CT34)</f>
        <v>-29.570967829999997</v>
      </c>
      <c r="Z34" s="382">
        <f>+((Y34/T34)^(1/5))-1</f>
        <v>9.7316815487185959E-2</v>
      </c>
      <c r="AA34" s="306"/>
      <c r="AB34" s="208"/>
    </row>
    <row r="35" spans="1:28" x14ac:dyDescent="0.2">
      <c r="A35" s="23" t="s">
        <v>250</v>
      </c>
      <c r="B35" s="43">
        <f>SUM('Quarterly Data 2001-2025'!C35:F35)</f>
        <v>-7.6270999999999987</v>
      </c>
      <c r="C35" s="19">
        <f>SUM('Quarterly Data 2001-2025'!G35:J35)</f>
        <v>-10.989000000000001</v>
      </c>
      <c r="D35" s="19">
        <f>SUM('Quarterly Data 2001-2025'!K35:N35)</f>
        <v>-5.7650000000000006</v>
      </c>
      <c r="E35" s="19">
        <f>SUM('Quarterly Data 2001-2025'!O35:R35)</f>
        <v>-4.4119999999999999</v>
      </c>
      <c r="F35" s="19">
        <f>SUM('Quarterly Data 2001-2025'!S35:V35)</f>
        <v>-6.3079999999999998</v>
      </c>
      <c r="G35" s="19">
        <f>SUM('Quarterly Data 2001-2025'!W35:Z35)</f>
        <v>-8.17</v>
      </c>
      <c r="H35" s="19">
        <f>SUM('Quarterly Data 2001-2025'!AA35:AD35)</f>
        <v>-9.7170438000000008</v>
      </c>
      <c r="I35" s="19">
        <f>SUM('Quarterly Data 2001-2025'!AE35:AH35)</f>
        <v>-12.337513403499999</v>
      </c>
      <c r="J35" s="19">
        <f>SUM('Quarterly Data 2001-2025'!AI35:AL35)</f>
        <v>-8.1172176083330001</v>
      </c>
      <c r="K35" s="19">
        <f>SUM('Quarterly Data 2001-2025'!AM35:AP35)</f>
        <v>-11.164597249107</v>
      </c>
      <c r="L35" s="19">
        <f>SUM('Quarterly Data 2001-2025'!AQ35:AT35)</f>
        <v>-11.30875874</v>
      </c>
      <c r="M35" s="19">
        <f>SUM('Quarterly Data 2001-2025'!AU35:AX35)</f>
        <v>-13.04297588</v>
      </c>
      <c r="N35" s="19">
        <f>SUM('Quarterly Data 2001-2025'!AY35:BB35)</f>
        <v>-10.11</v>
      </c>
      <c r="O35" s="19">
        <f>SUM('Quarterly Data 2001-2025'!BC35:BF35)</f>
        <v>-7.46</v>
      </c>
      <c r="P35" s="19">
        <f>SUM('Quarterly Data 2001-2025'!BG35:BJ35)</f>
        <v>-8.2200000000000006</v>
      </c>
      <c r="Q35" s="19">
        <f>SUM('Quarterly Data 2001-2025'!BK35:BN35)</f>
        <v>-8.06</v>
      </c>
      <c r="R35" s="19">
        <f>SUM('Quarterly Data 2001-2025'!BO35:BR35)</f>
        <v>-12.11</v>
      </c>
      <c r="S35" s="20">
        <f>SUM('Quarterly Data 2001-2025'!BS35:BV35)</f>
        <v>-19.655808380000028</v>
      </c>
      <c r="T35" s="19">
        <f>SUM('Quarterly Data 2001-2025'!BW35:BZ35)</f>
        <v>-63.12523814999988</v>
      </c>
      <c r="U35" s="19">
        <f>SUM('Quarterly Data 2001-2025'!CA35:CD35)</f>
        <v>-84.189470720000031</v>
      </c>
      <c r="V35" s="19">
        <f>SUM('Quarterly Data 2001-2025'!CE35:CH35)</f>
        <v>-69.852333420000335</v>
      </c>
      <c r="W35" s="19">
        <f>SUM('Quarterly Data 2001-2025'!CI35:CL35)</f>
        <v>-80.769310900000249</v>
      </c>
      <c r="X35" s="19">
        <f>SUM('Quarterly Data 2001-2025'!CM35:CP35)</f>
        <v>-88.387117060000008</v>
      </c>
      <c r="Y35" s="19">
        <f>SUM('Quarterly Data 2001-2025'!CQ35:CT35)</f>
        <v>-92.421738239999769</v>
      </c>
      <c r="Z35" s="382">
        <f>+((Y35/T35)^(1/5))-1</f>
        <v>7.9230525279232689E-2</v>
      </c>
      <c r="AA35" s="306"/>
      <c r="AB35" s="208"/>
    </row>
    <row r="36" spans="1:28" x14ac:dyDescent="0.2">
      <c r="A36" s="44" t="s">
        <v>115</v>
      </c>
      <c r="B36" s="46">
        <f>SUM('Quarterly Data 2001-2025'!C36:F36)</f>
        <v>-37.836399999999998</v>
      </c>
      <c r="C36" s="35">
        <f>SUM('Quarterly Data 2001-2025'!G36:J36)</f>
        <v>-41.747</v>
      </c>
      <c r="D36" s="35">
        <f>SUM('Quarterly Data 2001-2025'!K36:N36)</f>
        <v>-38.248999999999995</v>
      </c>
      <c r="E36" s="35">
        <f>SUM('Quarterly Data 2001-2025'!O36:R36)</f>
        <v>-46.501000000000005</v>
      </c>
      <c r="F36" s="35">
        <f>SUM('Quarterly Data 2001-2025'!S36:V36)</f>
        <v>-52.593999999999994</v>
      </c>
      <c r="G36" s="35">
        <f>SUM('Quarterly Data 2001-2025'!W36:Z36)</f>
        <v>-62.108999999999995</v>
      </c>
      <c r="H36" s="35">
        <f>SUM('Quarterly Data 2001-2025'!AA36:AD36)</f>
        <v>-68.066469290000015</v>
      </c>
      <c r="I36" s="35">
        <f>SUM('Quarterly Data 2001-2025'!AE36:AH36)</f>
        <v>-85.593984269999993</v>
      </c>
      <c r="J36" s="35">
        <f>SUM('Quarterly Data 2001-2025'!AI36:AL36)</f>
        <v>-70.338943659999998</v>
      </c>
      <c r="K36" s="35">
        <f>SUM('Quarterly Data 2001-2025'!AM36:AP36)</f>
        <v>-82.813340600000004</v>
      </c>
      <c r="L36" s="35">
        <f>SUM('Quarterly Data 2001-2025'!AQ36:AT36)</f>
        <v>-113.22397518</v>
      </c>
      <c r="M36" s="35">
        <f>SUM('Quarterly Data 2001-2025'!AU36:AX36)</f>
        <v>-108.757478679736</v>
      </c>
      <c r="N36" s="35">
        <f>SUM('Quarterly Data 2001-2025'!AY36:BB36)</f>
        <v>-117.52000000000001</v>
      </c>
      <c r="O36" s="35">
        <f>SUM('Quarterly Data 2001-2025'!BC36:BF36)</f>
        <v>-121.88999999999999</v>
      </c>
      <c r="P36" s="35">
        <f>SUM('Quarterly Data 2001-2025'!BG36:BJ36)</f>
        <v>-118.36</v>
      </c>
      <c r="Q36" s="35">
        <f>SUM('Quarterly Data 2001-2025'!BK36:BN36)</f>
        <v>-123.07999999999998</v>
      </c>
      <c r="R36" s="35">
        <f>SUM('Quarterly Data 2001-2025'!BO36:BR36)</f>
        <v>-164.35000000000002</v>
      </c>
      <c r="S36" s="45">
        <f>SUM('Quarterly Data 2001-2025'!BS36:BV36)</f>
        <v>-225.44096569729501</v>
      </c>
      <c r="T36" s="14">
        <f>SUM('Quarterly Data 2001-2025'!BW36:BZ36)</f>
        <v>-169.35445757205861</v>
      </c>
      <c r="U36" s="14">
        <f>SUM('Quarterly Data 2001-2025'!CA36:CD36)</f>
        <v>-187.85353861902178</v>
      </c>
      <c r="V36" s="14">
        <f>SUM('Quarterly Data 2001-2025'!CE36:CH36)</f>
        <v>-204.27165055980652</v>
      </c>
      <c r="W36" s="14">
        <f>SUM('Quarterly Data 2001-2025'!CI36:CL36)</f>
        <v>-286.41472086480906</v>
      </c>
      <c r="X36" s="14">
        <f>SUM('Quarterly Data 2001-2025'!CM36:CP36)</f>
        <v>-327.80111210370296</v>
      </c>
      <c r="Y36" s="14">
        <f>SUM('Quarterly Data 2001-2025'!CQ36:CT36)</f>
        <v>-369.77109331000003</v>
      </c>
      <c r="Z36" s="382">
        <f>+((Y36/T36)^(1/5))-1</f>
        <v>0.16903433039488514</v>
      </c>
      <c r="AA36" s="306"/>
    </row>
    <row r="37" spans="1:28" s="188" customFormat="1" x14ac:dyDescent="0.2">
      <c r="A37" s="36" t="s">
        <v>192</v>
      </c>
      <c r="B37" s="48">
        <f t="shared" ref="B37:N37" si="9">SUM(B33:B36)</f>
        <v>-85.507299999999987</v>
      </c>
      <c r="C37" s="37">
        <f t="shared" si="9"/>
        <v>-95.623999999999995</v>
      </c>
      <c r="D37" s="37">
        <f t="shared" si="9"/>
        <v>-90.667000000000002</v>
      </c>
      <c r="E37" s="37">
        <f t="shared" si="9"/>
        <v>-108.678</v>
      </c>
      <c r="F37" s="37">
        <f t="shared" si="9"/>
        <v>-137.23399999999998</v>
      </c>
      <c r="G37" s="37">
        <f t="shared" si="9"/>
        <v>-208.976</v>
      </c>
      <c r="H37" s="37">
        <f t="shared" si="9"/>
        <v>-246.62154404100002</v>
      </c>
      <c r="I37" s="37">
        <f t="shared" si="9"/>
        <v>-266.61052552349997</v>
      </c>
      <c r="J37" s="37">
        <f t="shared" si="9"/>
        <v>-228.88252941833298</v>
      </c>
      <c r="K37" s="37">
        <f t="shared" si="9"/>
        <v>-282.55319517910698</v>
      </c>
      <c r="L37" s="37">
        <f t="shared" si="9"/>
        <v>-336.51600689999998</v>
      </c>
      <c r="M37" s="37">
        <f t="shared" si="9"/>
        <v>-349.68191988973598</v>
      </c>
      <c r="N37" s="37">
        <f t="shared" si="9"/>
        <v>-352.94000000000005</v>
      </c>
      <c r="O37" s="37">
        <f>SUM(O33:O36)</f>
        <v>-382.73999999999995</v>
      </c>
      <c r="P37" s="47">
        <v>-411</v>
      </c>
      <c r="Q37" s="47">
        <v>-443.2</v>
      </c>
      <c r="R37" s="47">
        <v>-534.79999999999995</v>
      </c>
      <c r="S37" s="47">
        <f t="shared" ref="S37:X37" si="10">SUM(S33:S36)</f>
        <v>-629.30023184729487</v>
      </c>
      <c r="T37" s="38">
        <f t="shared" si="10"/>
        <v>-665.52209530644643</v>
      </c>
      <c r="U37" s="38">
        <f t="shared" si="10"/>
        <v>-762.59284817915341</v>
      </c>
      <c r="V37" s="38">
        <f t="shared" si="10"/>
        <v>-864.03870522268733</v>
      </c>
      <c r="W37" s="38">
        <f t="shared" si="10"/>
        <v>-1031.4402085074094</v>
      </c>
      <c r="X37" s="38">
        <f t="shared" si="10"/>
        <v>-1148.4699618537029</v>
      </c>
      <c r="Y37" s="38">
        <f>SUM(Y33:Y36)</f>
        <v>-1279.6493015499998</v>
      </c>
      <c r="Z37" s="388">
        <f>+((Y37/T37)^(1/5))-1</f>
        <v>0.1396872692724529</v>
      </c>
      <c r="AA37" s="306"/>
    </row>
    <row r="38" spans="1:28" s="188" customFormat="1" x14ac:dyDescent="0.2">
      <c r="A38" s="36"/>
      <c r="B38" s="48"/>
      <c r="C38" s="37"/>
      <c r="D38" s="37"/>
      <c r="E38" s="37"/>
      <c r="F38" s="37"/>
      <c r="G38" s="37"/>
      <c r="H38" s="37"/>
      <c r="I38" s="37"/>
      <c r="J38" s="37"/>
      <c r="K38" s="37"/>
      <c r="L38" s="37"/>
      <c r="M38" s="37"/>
      <c r="N38" s="142"/>
      <c r="O38" s="142"/>
      <c r="P38" s="142"/>
      <c r="Q38" s="142"/>
      <c r="R38" s="142"/>
      <c r="S38" s="39"/>
      <c r="T38" s="39"/>
      <c r="U38" s="39"/>
      <c r="V38" s="39"/>
      <c r="W38" s="39"/>
      <c r="X38" s="39"/>
      <c r="Y38" s="39"/>
      <c r="Z38" s="389"/>
    </row>
    <row r="39" spans="1:28" s="188" customFormat="1" x14ac:dyDescent="0.2">
      <c r="A39" s="5" t="s">
        <v>91</v>
      </c>
      <c r="B39" s="40">
        <f t="shared" ref="B39:S39" si="11">SUM(B31,B37)</f>
        <v>9.3927000000000191</v>
      </c>
      <c r="C39" s="38">
        <f t="shared" si="11"/>
        <v>26.976000000000028</v>
      </c>
      <c r="D39" s="38">
        <f t="shared" si="11"/>
        <v>58.875</v>
      </c>
      <c r="E39" s="38">
        <f t="shared" si="11"/>
        <v>101.13799999999998</v>
      </c>
      <c r="F39" s="38">
        <f t="shared" si="11"/>
        <v>146.62</v>
      </c>
      <c r="G39" s="38">
        <f t="shared" si="11"/>
        <v>243.86699999999996</v>
      </c>
      <c r="H39" s="38">
        <f t="shared" si="11"/>
        <v>307.85206095900003</v>
      </c>
      <c r="I39" s="38">
        <f t="shared" si="11"/>
        <v>239.49661147649999</v>
      </c>
      <c r="J39" s="38">
        <f t="shared" si="11"/>
        <v>280.00051956166703</v>
      </c>
      <c r="K39" s="38">
        <f t="shared" si="11"/>
        <v>331.20323180089304</v>
      </c>
      <c r="L39" s="38">
        <f t="shared" si="11"/>
        <v>345.67221207999989</v>
      </c>
      <c r="M39" s="38">
        <f t="shared" si="11"/>
        <v>200.964145060264</v>
      </c>
      <c r="N39" s="38">
        <f t="shared" si="11"/>
        <v>226.31356699999992</v>
      </c>
      <c r="O39" s="38">
        <f t="shared" si="11"/>
        <v>295.31264570000002</v>
      </c>
      <c r="P39" s="38">
        <f t="shared" si="11"/>
        <v>485.71100000000001</v>
      </c>
      <c r="Q39" s="38">
        <f t="shared" si="11"/>
        <v>465.40283935000053</v>
      </c>
      <c r="R39" s="38">
        <f t="shared" si="11"/>
        <v>440.6751037300005</v>
      </c>
      <c r="S39" s="38">
        <f t="shared" si="11"/>
        <v>419.69659323270537</v>
      </c>
      <c r="T39" s="38">
        <f t="shared" ref="T39:Y39" si="12">SUM(T31,T37)</f>
        <v>527.92743372355164</v>
      </c>
      <c r="U39" s="38">
        <f t="shared" si="12"/>
        <v>1586.1872210881402</v>
      </c>
      <c r="V39" s="38">
        <f t="shared" si="12"/>
        <v>2437.424267416674</v>
      </c>
      <c r="W39" s="38">
        <f t="shared" si="12"/>
        <v>1941.3290658226001</v>
      </c>
      <c r="X39" s="38">
        <f t="shared" si="12"/>
        <v>2288.7944155176815</v>
      </c>
      <c r="Y39" s="38">
        <f t="shared" si="12"/>
        <v>2620.1476925025063</v>
      </c>
      <c r="Z39" s="388">
        <f>+((Y39/T39)^(1/5))-1</f>
        <v>0.37768620044094381</v>
      </c>
      <c r="AA39" s="306"/>
    </row>
    <row r="40" spans="1:28" s="188" customFormat="1" x14ac:dyDescent="0.2">
      <c r="A40" s="36"/>
      <c r="B40" s="48"/>
      <c r="C40" s="37"/>
      <c r="D40" s="37"/>
      <c r="E40" s="37"/>
      <c r="F40" s="37"/>
      <c r="G40" s="37"/>
      <c r="H40" s="37"/>
      <c r="I40" s="37"/>
      <c r="J40" s="37"/>
      <c r="K40" s="37"/>
      <c r="L40" s="37"/>
      <c r="M40" s="37"/>
      <c r="N40" s="37"/>
      <c r="O40" s="37"/>
      <c r="P40" s="37"/>
      <c r="Q40" s="37"/>
      <c r="R40" s="37"/>
      <c r="S40" s="39"/>
      <c r="T40" s="39"/>
      <c r="U40" s="39"/>
      <c r="V40" s="39"/>
      <c r="W40" s="39"/>
      <c r="X40" s="39"/>
      <c r="Y40" s="39"/>
      <c r="Z40" s="390"/>
    </row>
    <row r="41" spans="1:28" x14ac:dyDescent="0.2">
      <c r="A41" s="23" t="s">
        <v>92</v>
      </c>
      <c r="B41" s="26">
        <f>SUM('Quarterly Data 2001-2025'!C41:F41)</f>
        <v>0</v>
      </c>
      <c r="C41" s="24">
        <f>SUM('Quarterly Data 2001-2025'!G41:J41)</f>
        <v>-0.1</v>
      </c>
      <c r="D41" s="24">
        <f>SUM('Quarterly Data 2001-2025'!K41:N41)</f>
        <v>0</v>
      </c>
      <c r="E41" s="24">
        <f>SUM('Quarterly Data 2001-2025'!O41:R41)</f>
        <v>0</v>
      </c>
      <c r="F41" s="24">
        <f>SUM('Quarterly Data 2001-2025'!S41:V41)</f>
        <v>0.1</v>
      </c>
      <c r="G41" s="24">
        <f>SUM('Quarterly Data 2001-2025'!W41:Z41)</f>
        <v>0</v>
      </c>
      <c r="H41" s="24">
        <f>SUM('Quarterly Data 2001-2025'!AA41:AD41)</f>
        <v>-1.45</v>
      </c>
      <c r="I41" s="24">
        <f>SUM('Quarterly Data 2001-2025'!AE41:AH41)</f>
        <v>0</v>
      </c>
      <c r="J41" s="24">
        <f>SUM('Quarterly Data 2001-2025'!AI41:AL41)</f>
        <v>0</v>
      </c>
      <c r="K41" s="24">
        <f>SUM('Quarterly Data 2001-2025'!AM41:AP41)</f>
        <v>0</v>
      </c>
      <c r="L41" s="24">
        <f>SUM('Quarterly Data 2001-2025'!AQ41:AT41)</f>
        <v>-6</v>
      </c>
      <c r="M41" s="24">
        <f>SUM('Quarterly Data 2001-2025'!AU41:AX41)</f>
        <v>-1</v>
      </c>
      <c r="N41" s="24">
        <f>SUM('Quarterly Data 2001-2025'!AY41:BB41)</f>
        <v>-1</v>
      </c>
      <c r="O41" s="24">
        <f>SUM('Quarterly Data 2001-2025'!BC41:BF41)</f>
        <v>0.4</v>
      </c>
      <c r="P41" s="24">
        <f>SUM('Quarterly Data 2001-2025'!BG41:BJ41)</f>
        <v>-0.21566200000000002</v>
      </c>
      <c r="Q41" s="24">
        <f>SUM('Quarterly Data 2001-2025'!BK41:BN41)</f>
        <v>-0.50499499999999997</v>
      </c>
      <c r="R41" s="24">
        <f>SUM('Quarterly Data 2001-2025'!BO41:BR41)</f>
        <v>0.39028800000000002</v>
      </c>
      <c r="S41" s="24">
        <f>SUM('Quarterly Data 2001-2025'!BS41:BV41)</f>
        <v>-1.1601431</v>
      </c>
      <c r="T41" s="24">
        <f>SUM('Quarterly Data 2001-2025'!BW41:BZ41)</f>
        <v>0.32980080000000089</v>
      </c>
      <c r="U41" s="24">
        <f>SUM('Quarterly Data 2001-2025'!CA41:CD41)</f>
        <v>-3.8714396300000011</v>
      </c>
      <c r="V41" s="24">
        <f>SUM('Quarterly Data 2001-2025'!CE41:CH41)</f>
        <v>-0.24211197999999867</v>
      </c>
      <c r="W41" s="24">
        <f>SUM('Quarterly Data 2001-2025'!CI41:CL41)</f>
        <v>-1.0805639399999993</v>
      </c>
      <c r="X41" s="24">
        <f>SUM('Quarterly Data 2001-2025'!CM41:CP41)</f>
        <v>3.4192646100000008</v>
      </c>
      <c r="Y41" s="24">
        <f>SUM('Quarterly Data 2001-2025'!CQ41:CT41)</f>
        <v>0.45578182000000056</v>
      </c>
      <c r="Z41" s="50" t="s">
        <v>202</v>
      </c>
    </row>
    <row r="42" spans="1:28" x14ac:dyDescent="0.2">
      <c r="A42" s="7" t="s">
        <v>136</v>
      </c>
      <c r="B42" s="34">
        <f>SUM('Quarterly Data 2001-2025'!C42:F42)</f>
        <v>0</v>
      </c>
      <c r="C42" s="32">
        <f>SUM('Quarterly Data 2001-2025'!G42:J42)</f>
        <v>0</v>
      </c>
      <c r="D42" s="32">
        <f>SUM('Quarterly Data 2001-2025'!K42:N42)</f>
        <v>0</v>
      </c>
      <c r="E42" s="32">
        <f>SUM('Quarterly Data 2001-2025'!O42:R42)</f>
        <v>0</v>
      </c>
      <c r="F42" s="32">
        <f>SUM('Quarterly Data 2001-2025'!S42:V42)</f>
        <v>0</v>
      </c>
      <c r="G42" s="32">
        <f>SUM('Quarterly Data 2001-2025'!W42:Z42)</f>
        <v>0</v>
      </c>
      <c r="H42" s="32">
        <f>SUM('Quarterly Data 2001-2025'!AA42:AD42)</f>
        <v>0</v>
      </c>
      <c r="I42" s="32">
        <f>SUM('Quarterly Data 2001-2025'!AE42:AH42)</f>
        <v>0</v>
      </c>
      <c r="J42" s="32">
        <f>SUM('Quarterly Data 2001-2025'!AI42:AL42)</f>
        <v>0</v>
      </c>
      <c r="K42" s="32">
        <f>SUM('Quarterly Data 2001-2025'!AM42:AP42)</f>
        <v>0</v>
      </c>
      <c r="L42" s="32">
        <f>SUM('Quarterly Data 2001-2025'!AQ42:AT42)</f>
        <v>0</v>
      </c>
      <c r="M42" s="32">
        <f>SUM('Quarterly Data 2001-2025'!AU42:AX42)</f>
        <v>0</v>
      </c>
      <c r="N42" s="32">
        <f>SUM('Quarterly Data 2001-2025'!AY42:BB42)</f>
        <v>0</v>
      </c>
      <c r="O42" s="32">
        <f>SUM('Quarterly Data 2001-2025'!BC42:BF42)</f>
        <v>0</v>
      </c>
      <c r="P42" s="32">
        <f>SUM('Quarterly Data 2001-2025'!BG42:BJ42)</f>
        <v>0</v>
      </c>
      <c r="Q42" s="32">
        <f>SUM('Quarterly Data 2001-2025'!BK42:BN42)</f>
        <v>0</v>
      </c>
      <c r="R42" s="32">
        <f>SUM('Quarterly Data 2001-2025'!BO42:BR42)</f>
        <v>0</v>
      </c>
      <c r="S42" s="33">
        <f>SUM('Quarterly Data 2001-2025'!BS42:BV42)</f>
        <v>-0.6552</v>
      </c>
      <c r="T42" s="32">
        <f>SUM('Quarterly Data 2001-2025'!BW42:BZ42)</f>
        <v>-8.2419469999999997</v>
      </c>
      <c r="U42" s="32">
        <f>SUM('Quarterly Data 2001-2025'!CA42:CD42)</f>
        <v>-5.8282509999999998</v>
      </c>
      <c r="V42" s="32">
        <f>SUM('Quarterly Data 2001-2025'!CE42:CH42)</f>
        <v>0</v>
      </c>
      <c r="W42" s="32">
        <f>SUM('Quarterly Data 2001-2025'!CI42:CL42)</f>
        <v>0</v>
      </c>
      <c r="X42" s="32">
        <f>SUM('Quarterly Data 2001-2025'!CM42:CP42)</f>
        <v>0</v>
      </c>
      <c r="Y42" s="32">
        <f>SUM('Quarterly Data 2001-2025'!CQ42:CT42)</f>
        <v>0</v>
      </c>
      <c r="Z42" s="391" t="s">
        <v>202</v>
      </c>
    </row>
    <row r="43" spans="1:28" s="188" customFormat="1" x14ac:dyDescent="0.2">
      <c r="A43" s="36" t="s">
        <v>193</v>
      </c>
      <c r="B43" s="47">
        <f t="shared" ref="B43:T43" si="13">SUM(B39,B41,B42)</f>
        <v>9.3927000000000191</v>
      </c>
      <c r="C43" s="47">
        <f t="shared" si="13"/>
        <v>26.876000000000026</v>
      </c>
      <c r="D43" s="47">
        <f t="shared" si="13"/>
        <v>58.875</v>
      </c>
      <c r="E43" s="47">
        <f t="shared" si="13"/>
        <v>101.13799999999998</v>
      </c>
      <c r="F43" s="47">
        <f t="shared" si="13"/>
        <v>146.72</v>
      </c>
      <c r="G43" s="47">
        <f t="shared" si="13"/>
        <v>243.86699999999996</v>
      </c>
      <c r="H43" s="47">
        <f t="shared" si="13"/>
        <v>306.40206095900004</v>
      </c>
      <c r="I43" s="47">
        <f t="shared" si="13"/>
        <v>239.49661147649999</v>
      </c>
      <c r="J43" s="47">
        <f t="shared" si="13"/>
        <v>280.00051956166703</v>
      </c>
      <c r="K43" s="47">
        <f t="shared" si="13"/>
        <v>331.20323180089304</v>
      </c>
      <c r="L43" s="47">
        <f t="shared" si="13"/>
        <v>339.67221207999989</v>
      </c>
      <c r="M43" s="47">
        <f t="shared" si="13"/>
        <v>199.964145060264</v>
      </c>
      <c r="N43" s="47">
        <f t="shared" si="13"/>
        <v>225.31356699999992</v>
      </c>
      <c r="O43" s="47">
        <f t="shared" si="13"/>
        <v>295.7126457</v>
      </c>
      <c r="P43" s="47">
        <f t="shared" si="13"/>
        <v>485.495338</v>
      </c>
      <c r="Q43" s="47">
        <f t="shared" si="13"/>
        <v>464.89784435000053</v>
      </c>
      <c r="R43" s="47">
        <f t="shared" si="13"/>
        <v>441.0653917300005</v>
      </c>
      <c r="S43" s="47">
        <f t="shared" si="13"/>
        <v>417.88125013270536</v>
      </c>
      <c r="T43" s="47">
        <f t="shared" si="13"/>
        <v>520.01528752355171</v>
      </c>
      <c r="U43" s="47">
        <f>SUM(U39,U41,U42)</f>
        <v>1576.4875304581403</v>
      </c>
      <c r="V43" s="47">
        <f>SUM(V39,V41,V42)</f>
        <v>2437.1821554366738</v>
      </c>
      <c r="W43" s="47">
        <f>SUM(W39,W41,W42)</f>
        <v>1940.2485018826001</v>
      </c>
      <c r="X43" s="47">
        <f>SUM(X39,X41,X42)</f>
        <v>2292.2136801276815</v>
      </c>
      <c r="Y43" s="47">
        <f>SUM(Y39,Y41,Y42)</f>
        <v>2620.6034743225064</v>
      </c>
      <c r="Z43" s="390">
        <f>+((Y43/T43)^(1/5))-1</f>
        <v>0.38190134723699276</v>
      </c>
      <c r="AA43" s="306"/>
    </row>
    <row r="44" spans="1:28" s="189" customFormat="1" x14ac:dyDescent="0.2">
      <c r="A44" s="152" t="s">
        <v>145</v>
      </c>
      <c r="B44" s="155">
        <f t="shared" ref="B44:R44" si="14">+B31+B37+B41+B42</f>
        <v>9.3927000000000191</v>
      </c>
      <c r="C44" s="153">
        <f t="shared" si="14"/>
        <v>26.876000000000026</v>
      </c>
      <c r="D44" s="153">
        <f t="shared" si="14"/>
        <v>58.875</v>
      </c>
      <c r="E44" s="153">
        <f t="shared" si="14"/>
        <v>101.13799999999998</v>
      </c>
      <c r="F44" s="153">
        <f t="shared" si="14"/>
        <v>146.72</v>
      </c>
      <c r="G44" s="153">
        <f t="shared" si="14"/>
        <v>243.86699999999996</v>
      </c>
      <c r="H44" s="153">
        <f t="shared" si="14"/>
        <v>306.40206095900004</v>
      </c>
      <c r="I44" s="153">
        <f t="shared" si="14"/>
        <v>239.49661147649999</v>
      </c>
      <c r="J44" s="153">
        <f t="shared" si="14"/>
        <v>280.00051956166703</v>
      </c>
      <c r="K44" s="153">
        <f t="shared" si="14"/>
        <v>331.20323180089304</v>
      </c>
      <c r="L44" s="153">
        <f t="shared" si="14"/>
        <v>339.67221207999989</v>
      </c>
      <c r="M44" s="153">
        <f t="shared" si="14"/>
        <v>199.964145060264</v>
      </c>
      <c r="N44" s="153">
        <f t="shared" si="14"/>
        <v>225.31356699999992</v>
      </c>
      <c r="O44" s="156">
        <f>+O31+O37+O41+O42</f>
        <v>295.7126457</v>
      </c>
      <c r="P44" s="156">
        <f>+P31+P37+P41+P42</f>
        <v>485.495338</v>
      </c>
      <c r="Q44" s="156">
        <f>+Q31+Q37+Q41+Q42</f>
        <v>464.89784435000053</v>
      </c>
      <c r="R44" s="156">
        <f t="shared" si="14"/>
        <v>441.0653917300005</v>
      </c>
      <c r="S44" s="156">
        <f>+S31+(S37+35)+S41+S42</f>
        <v>452.88125013270536</v>
      </c>
      <c r="T44" s="156">
        <f>+T31+(T37+8.3)+T41+T42</f>
        <v>528.31528752355166</v>
      </c>
      <c r="U44" s="156">
        <f>+(U31-63)+(U37+16+13)+U41+U42</f>
        <v>1542.4875304581403</v>
      </c>
      <c r="V44" s="156">
        <f>+(V31)+(V37-10)+V41+V42</f>
        <v>2427.1821554366738</v>
      </c>
      <c r="W44" s="156">
        <f>+(W31)+(W37)+W41+W42</f>
        <v>1940.2485018826001</v>
      </c>
      <c r="X44" s="156">
        <f>+(X31)+(X37)+X41+X42</f>
        <v>2292.2136801276815</v>
      </c>
      <c r="Y44" s="14">
        <f>SUM('Quarterly Data 2001-2025'!CQ44:CT44)</f>
        <v>2674.8902646125071</v>
      </c>
      <c r="Z44" s="392">
        <f>+((Y44/T44)^(1/5))-1</f>
        <v>0.38319228675224082</v>
      </c>
      <c r="AA44" s="304"/>
    </row>
    <row r="45" spans="1:28" s="188" customFormat="1" x14ac:dyDescent="0.2">
      <c r="A45" s="36"/>
      <c r="B45" s="41"/>
      <c r="C45" s="14"/>
      <c r="D45" s="14"/>
      <c r="E45" s="14"/>
      <c r="F45" s="14"/>
      <c r="G45" s="14"/>
      <c r="H45" s="14"/>
      <c r="I45" s="14"/>
      <c r="J45" s="14"/>
      <c r="K45" s="14"/>
      <c r="L45" s="14"/>
      <c r="M45" s="14"/>
      <c r="N45" s="14"/>
      <c r="O45" s="14"/>
      <c r="P45" s="14"/>
      <c r="Q45" s="14"/>
      <c r="R45" s="14"/>
      <c r="S45" s="47"/>
      <c r="T45" s="15"/>
      <c r="U45" s="15"/>
      <c r="V45" s="15"/>
      <c r="W45" s="15"/>
      <c r="X45" s="15"/>
      <c r="Y45" s="15"/>
      <c r="Z45" s="42"/>
    </row>
    <row r="46" spans="1:28" x14ac:dyDescent="0.2">
      <c r="A46" s="44" t="s">
        <v>146</v>
      </c>
      <c r="B46" s="46">
        <f>SUM('Quarterly Data 2001-2025'!C46:F46)</f>
        <v>-2.6299560000000017</v>
      </c>
      <c r="C46" s="35">
        <f>SUM('Quarterly Data 2001-2025'!G46:J46)</f>
        <v>-7.5252800000000022</v>
      </c>
      <c r="D46" s="35">
        <f>SUM('Quarterly Data 2001-2025'!K46:N46)</f>
        <v>-16.484999999999999</v>
      </c>
      <c r="E46" s="35">
        <f>SUM('Quarterly Data 2001-2025'!O46:R46)</f>
        <v>-28.318639999999998</v>
      </c>
      <c r="F46" s="35">
        <f>SUM('Quarterly Data 2001-2025'!S46:V46)</f>
        <v>-40.76</v>
      </c>
      <c r="G46" s="35">
        <f>SUM('Quarterly Data 2001-2025'!W46:Z46)</f>
        <v>-55.8</v>
      </c>
      <c r="H46" s="35">
        <f>SUM('Quarterly Data 2001-2025'!AA46:AD46)</f>
        <v>-74.400000000000006</v>
      </c>
      <c r="I46" s="35">
        <f>SUM('Quarterly Data 2001-2025'!AE46:AH46)</f>
        <v>-54</v>
      </c>
      <c r="J46" s="35">
        <f>SUM('Quarterly Data 2001-2025'!AI46:AL46)</f>
        <v>-51.8</v>
      </c>
      <c r="K46" s="35">
        <f>SUM('Quarterly Data 2001-2025'!AM46:AP46)</f>
        <v>-60</v>
      </c>
      <c r="L46" s="35">
        <f>SUM('Quarterly Data 2001-2025'!AQ46:AT46)</f>
        <v>-50</v>
      </c>
      <c r="M46" s="35">
        <v>-41</v>
      </c>
      <c r="N46" s="35">
        <f>SUM('Quarterly Data 2001-2025'!AY46:BB46)</f>
        <v>-33</v>
      </c>
      <c r="O46" s="35">
        <f>SUM('Quarterly Data 2001-2025'!BC46:BF46)</f>
        <v>-46.129999999999995</v>
      </c>
      <c r="P46" s="35">
        <v>-69.7</v>
      </c>
      <c r="Q46" s="35">
        <v>-66</v>
      </c>
      <c r="R46" s="35">
        <v>-63</v>
      </c>
      <c r="S46" s="45">
        <v>-68.796785</v>
      </c>
      <c r="T46" s="35">
        <v>-73.082880309999993</v>
      </c>
      <c r="U46" s="35">
        <v>-241.88447693999998</v>
      </c>
      <c r="V46" s="35">
        <v>-390.47756779999986</v>
      </c>
      <c r="W46" s="35">
        <v>-273.98198851000006</v>
      </c>
      <c r="X46" s="35">
        <v>-310.09616749000003</v>
      </c>
      <c r="Y46" s="45">
        <v>-367</v>
      </c>
      <c r="Z46" s="393">
        <f>+((Y46/T46)^(1/5))-1</f>
        <v>0.38092496735801107</v>
      </c>
    </row>
    <row r="47" spans="1:28" s="188" customFormat="1" x14ac:dyDescent="0.2">
      <c r="A47" s="36" t="s">
        <v>149</v>
      </c>
      <c r="B47" s="48">
        <f t="shared" ref="B47:U47" si="15">+B43+B46</f>
        <v>6.7627440000000174</v>
      </c>
      <c r="C47" s="37">
        <f t="shared" si="15"/>
        <v>19.350720000000024</v>
      </c>
      <c r="D47" s="37">
        <f t="shared" si="15"/>
        <v>42.39</v>
      </c>
      <c r="E47" s="37">
        <f t="shared" si="15"/>
        <v>72.819359999999975</v>
      </c>
      <c r="F47" s="37">
        <f t="shared" si="15"/>
        <v>105.96000000000001</v>
      </c>
      <c r="G47" s="37">
        <f t="shared" si="15"/>
        <v>188.06699999999995</v>
      </c>
      <c r="H47" s="37">
        <f t="shared" si="15"/>
        <v>232.00206095900003</v>
      </c>
      <c r="I47" s="37">
        <f t="shared" si="15"/>
        <v>185.49661147649999</v>
      </c>
      <c r="J47" s="37">
        <f t="shared" si="15"/>
        <v>228.20051956166702</v>
      </c>
      <c r="K47" s="37">
        <f t="shared" si="15"/>
        <v>271.20323180089304</v>
      </c>
      <c r="L47" s="37">
        <f t="shared" si="15"/>
        <v>289.67221207999989</v>
      </c>
      <c r="M47" s="37">
        <f t="shared" si="15"/>
        <v>158.964145060264</v>
      </c>
      <c r="N47" s="37">
        <f t="shared" si="15"/>
        <v>192.31356699999992</v>
      </c>
      <c r="O47" s="47">
        <f t="shared" si="15"/>
        <v>249.5826457</v>
      </c>
      <c r="P47" s="47">
        <f t="shared" si="15"/>
        <v>415.79533800000002</v>
      </c>
      <c r="Q47" s="47">
        <f t="shared" si="15"/>
        <v>398.89784435000053</v>
      </c>
      <c r="R47" s="47">
        <f t="shared" si="15"/>
        <v>378.0653917300005</v>
      </c>
      <c r="S47" s="47">
        <f t="shared" si="15"/>
        <v>349.08446513270536</v>
      </c>
      <c r="T47" s="47">
        <f t="shared" si="15"/>
        <v>446.9324072135517</v>
      </c>
      <c r="U47" s="47">
        <f t="shared" si="15"/>
        <v>1334.6030535181403</v>
      </c>
      <c r="V47" s="47">
        <f>+V43+V46</f>
        <v>2046.704587636674</v>
      </c>
      <c r="W47" s="47">
        <f>+W43+W46</f>
        <v>1666.2665133726</v>
      </c>
      <c r="X47" s="47">
        <f>+X43+X46</f>
        <v>1982.1175126376816</v>
      </c>
      <c r="Y47" s="47">
        <f>+Y43+Y46</f>
        <v>2253.6034743225064</v>
      </c>
      <c r="Z47" s="390">
        <f>+((Y47/T47)^(1/5))-1</f>
        <v>0.3820607437225414</v>
      </c>
      <c r="AA47" s="306"/>
    </row>
    <row r="48" spans="1:28" x14ac:dyDescent="0.2">
      <c r="A48" s="6"/>
      <c r="B48" s="41"/>
      <c r="C48" s="14"/>
      <c r="D48" s="14"/>
      <c r="E48" s="14"/>
      <c r="F48" s="14"/>
      <c r="G48" s="14"/>
      <c r="H48" s="14"/>
      <c r="I48" s="14"/>
      <c r="J48" s="14"/>
      <c r="K48" s="14"/>
      <c r="L48" s="14"/>
      <c r="M48" s="14"/>
      <c r="N48" s="14"/>
      <c r="O48" s="14"/>
      <c r="P48" s="14"/>
      <c r="Q48" s="15"/>
      <c r="R48" s="15"/>
      <c r="S48" s="15"/>
      <c r="T48" s="15"/>
      <c r="U48" s="15"/>
      <c r="V48" s="15"/>
      <c r="W48" s="15"/>
      <c r="X48" s="15"/>
      <c r="Y48" s="15"/>
      <c r="Z48" s="42"/>
    </row>
    <row r="49" spans="1:27" s="189" customFormat="1" x14ac:dyDescent="0.2">
      <c r="A49" s="152" t="s">
        <v>40</v>
      </c>
      <c r="B49" s="324">
        <f t="shared" ref="B49:U49" si="16">-B46/B43</f>
        <v>0.27999999999999964</v>
      </c>
      <c r="C49" s="325">
        <f t="shared" si="16"/>
        <v>0.2799999999999998</v>
      </c>
      <c r="D49" s="325">
        <f t="shared" si="16"/>
        <v>0.27999999999999997</v>
      </c>
      <c r="E49" s="325">
        <f t="shared" si="16"/>
        <v>0.28000000000000003</v>
      </c>
      <c r="F49" s="325">
        <f t="shared" si="16"/>
        <v>0.27780806979280259</v>
      </c>
      <c r="G49" s="325">
        <f t="shared" si="16"/>
        <v>0.22881324656472588</v>
      </c>
      <c r="H49" s="325">
        <f t="shared" si="16"/>
        <v>0.24281821005752158</v>
      </c>
      <c r="I49" s="325">
        <f t="shared" si="16"/>
        <v>0.22547291866506686</v>
      </c>
      <c r="J49" s="325">
        <f t="shared" si="16"/>
        <v>0.18499965671882126</v>
      </c>
      <c r="K49" s="325">
        <f t="shared" si="16"/>
        <v>0.18115765258012262</v>
      </c>
      <c r="L49" s="325">
        <f t="shared" si="16"/>
        <v>0.14720073712778117</v>
      </c>
      <c r="M49" s="325">
        <f t="shared" si="16"/>
        <v>0.20503675790299139</v>
      </c>
      <c r="N49" s="325">
        <f t="shared" si="16"/>
        <v>0.1464625518977293</v>
      </c>
      <c r="O49" s="325">
        <f t="shared" si="16"/>
        <v>0.15599603422708816</v>
      </c>
      <c r="P49" s="325">
        <f t="shared" si="16"/>
        <v>0.14356471534233353</v>
      </c>
      <c r="Q49" s="325">
        <f t="shared" si="16"/>
        <v>0.14196667246818118</v>
      </c>
      <c r="R49" s="325">
        <f t="shared" si="16"/>
        <v>0.14283596305956744</v>
      </c>
      <c r="S49" s="325">
        <f t="shared" si="16"/>
        <v>0.16463238055823851</v>
      </c>
      <c r="T49" s="325">
        <f t="shared" si="16"/>
        <v>0.14053986885277875</v>
      </c>
      <c r="U49" s="325">
        <f t="shared" si="16"/>
        <v>0.15343253420450864</v>
      </c>
      <c r="V49" s="325">
        <f>-V46/V43</f>
        <v>0.16021681716688813</v>
      </c>
      <c r="W49" s="325">
        <f>-W46/W43</f>
        <v>0.14120974104304609</v>
      </c>
      <c r="X49" s="325">
        <f>-X46/X43</f>
        <v>0.13528239979473772</v>
      </c>
      <c r="Y49" s="325">
        <f>-Y46/Y43</f>
        <v>0.14004407900545846</v>
      </c>
      <c r="Z49" s="392">
        <f>+((Y49/T49)^(1/5))-1</f>
        <v>-7.0654817793891489E-4</v>
      </c>
    </row>
    <row r="50" spans="1:27" x14ac:dyDescent="0.2">
      <c r="A50" s="6"/>
      <c r="B50" s="41"/>
      <c r="C50" s="14"/>
      <c r="D50" s="14"/>
      <c r="E50" s="14"/>
      <c r="F50" s="14"/>
      <c r="G50" s="14"/>
      <c r="H50" s="14"/>
      <c r="I50" s="14"/>
      <c r="J50" s="14"/>
      <c r="K50" s="14"/>
      <c r="L50" s="14"/>
      <c r="M50" s="14"/>
      <c r="N50" s="14"/>
      <c r="O50" s="14"/>
      <c r="P50" s="14"/>
      <c r="Q50" s="15"/>
      <c r="R50" s="15"/>
      <c r="S50" s="15"/>
      <c r="T50" s="15"/>
      <c r="U50" s="15"/>
      <c r="V50" s="15"/>
      <c r="W50" s="15"/>
      <c r="X50" s="15"/>
      <c r="Y50" s="15"/>
      <c r="Z50" s="42"/>
    </row>
    <row r="51" spans="1:27" x14ac:dyDescent="0.2">
      <c r="A51" s="135" t="s">
        <v>180</v>
      </c>
      <c r="B51" s="41"/>
      <c r="C51" s="14"/>
      <c r="D51" s="14"/>
      <c r="E51" s="14"/>
      <c r="F51" s="14"/>
      <c r="G51" s="14"/>
      <c r="H51" s="14"/>
      <c r="I51" s="14"/>
      <c r="J51" s="14"/>
      <c r="K51" s="14"/>
      <c r="L51" s="14"/>
      <c r="M51" s="14"/>
      <c r="N51" s="14"/>
      <c r="O51" s="14"/>
      <c r="P51" s="56"/>
      <c r="Q51" s="62"/>
      <c r="R51" s="62"/>
      <c r="S51" s="143"/>
      <c r="T51" s="143"/>
      <c r="U51" s="143"/>
      <c r="V51" s="143"/>
      <c r="W51" s="143"/>
      <c r="X51" s="143"/>
      <c r="Y51" s="143"/>
      <c r="Z51" s="17"/>
    </row>
    <row r="52" spans="1:27" x14ac:dyDescent="0.2">
      <c r="A52" s="23" t="s">
        <v>39</v>
      </c>
      <c r="B52" s="66">
        <f t="shared" ref="B52:U52" si="17">+B43/B31</f>
        <v>9.8974710221285761E-2</v>
      </c>
      <c r="C52" s="65">
        <f t="shared" si="17"/>
        <v>0.21921696574225139</v>
      </c>
      <c r="D52" s="65">
        <f t="shared" si="17"/>
        <v>0.39370210375680409</v>
      </c>
      <c r="E52" s="65">
        <f t="shared" si="17"/>
        <v>0.48203187554809923</v>
      </c>
      <c r="F52" s="65">
        <f t="shared" si="17"/>
        <v>0.51688544110704804</v>
      </c>
      <c r="G52" s="65">
        <f t="shared" si="17"/>
        <v>0.53852438924748747</v>
      </c>
      <c r="H52" s="65">
        <f t="shared" si="17"/>
        <v>0.55259990411806892</v>
      </c>
      <c r="I52" s="65">
        <f t="shared" si="17"/>
        <v>0.47321326645607054</v>
      </c>
      <c r="J52" s="65">
        <f t="shared" si="17"/>
        <v>0.55022567586579518</v>
      </c>
      <c r="K52" s="65">
        <f t="shared" si="17"/>
        <v>0.5396330160330618</v>
      </c>
      <c r="L52" s="65">
        <f t="shared" si="17"/>
        <v>0.4979156816690179</v>
      </c>
      <c r="M52" s="65">
        <f t="shared" si="17"/>
        <v>0.3631446001133618</v>
      </c>
      <c r="N52" s="65">
        <f t="shared" si="17"/>
        <v>0.38897225642807293</v>
      </c>
      <c r="O52" s="65">
        <f t="shared" si="17"/>
        <v>0.43612048057819414</v>
      </c>
      <c r="P52" s="65">
        <f t="shared" si="17"/>
        <v>0.54141784588345632</v>
      </c>
      <c r="Q52" s="65">
        <f t="shared" si="17"/>
        <v>0.51166232837504755</v>
      </c>
      <c r="R52" s="65">
        <f t="shared" si="17"/>
        <v>0.45215443227968016</v>
      </c>
      <c r="S52" s="65">
        <f t="shared" si="17"/>
        <v>0.39836274061252402</v>
      </c>
      <c r="T52" s="65">
        <f t="shared" si="17"/>
        <v>0.43572457391323904</v>
      </c>
      <c r="U52" s="65">
        <f t="shared" si="17"/>
        <v>0.67119418760647465</v>
      </c>
      <c r="V52" s="65">
        <f>+V43/V31</f>
        <v>0.7382127788906454</v>
      </c>
      <c r="W52" s="65">
        <f>+W43/W31</f>
        <v>0.65267376067047289</v>
      </c>
      <c r="X52" s="65">
        <f>+X43/X31</f>
        <v>0.66687150840594644</v>
      </c>
      <c r="Y52" s="65">
        <f>+Y43/Y31</f>
        <v>0.67198458748471535</v>
      </c>
      <c r="Z52" s="50">
        <f t="shared" ref="Z52:Z57" si="18">+((Y52/T52)^(1/5))-1</f>
        <v>9.0509495928765116E-2</v>
      </c>
      <c r="AA52" s="307"/>
    </row>
    <row r="53" spans="1:27" x14ac:dyDescent="0.2">
      <c r="A53" s="18" t="s">
        <v>119</v>
      </c>
      <c r="B53" s="84">
        <f t="shared" ref="B53:U53" si="19">+B47/B31</f>
        <v>7.1261791359325782E-2</v>
      </c>
      <c r="C53" s="83">
        <f t="shared" si="19"/>
        <v>0.15783621533442105</v>
      </c>
      <c r="D53" s="83">
        <f t="shared" si="19"/>
        <v>0.28346551470489895</v>
      </c>
      <c r="E53" s="83">
        <f t="shared" si="19"/>
        <v>0.34706295039463142</v>
      </c>
      <c r="F53" s="83">
        <f t="shared" si="19"/>
        <v>0.37329049440909767</v>
      </c>
      <c r="G53" s="83">
        <f t="shared" si="19"/>
        <v>0.41530287538948368</v>
      </c>
      <c r="H53" s="83">
        <f t="shared" si="19"/>
        <v>0.41841858452216141</v>
      </c>
      <c r="I53" s="83">
        <f t="shared" si="19"/>
        <v>0.36651649011719034</v>
      </c>
      <c r="J53" s="83">
        <f t="shared" si="19"/>
        <v>0.44843411471274158</v>
      </c>
      <c r="K53" s="83">
        <f t="shared" si="19"/>
        <v>0.44187436559378063</v>
      </c>
      <c r="L53" s="83">
        <f t="shared" si="19"/>
        <v>0.42462212629985685</v>
      </c>
      <c r="M53" s="83">
        <f t="shared" si="19"/>
        <v>0.28868660865613982</v>
      </c>
      <c r="N53" s="83">
        <f t="shared" si="19"/>
        <v>0.33200238713419944</v>
      </c>
      <c r="O53" s="83">
        <f t="shared" si="19"/>
        <v>0.36808741516278404</v>
      </c>
      <c r="P53" s="83">
        <f t="shared" si="19"/>
        <v>0.46368934695793851</v>
      </c>
      <c r="Q53" s="83">
        <f t="shared" si="19"/>
        <v>0.43902333018832018</v>
      </c>
      <c r="R53" s="83">
        <f t="shared" si="19"/>
        <v>0.38757051849336011</v>
      </c>
      <c r="S53" s="83">
        <f t="shared" si="19"/>
        <v>0.33277933429978013</v>
      </c>
      <c r="T53" s="83">
        <f t="shared" si="19"/>
        <v>0.37448789943953953</v>
      </c>
      <c r="U53" s="83">
        <f t="shared" si="19"/>
        <v>0.56821116245867676</v>
      </c>
      <c r="V53" s="83">
        <f>+V47/V31</f>
        <v>0.6199386770648625</v>
      </c>
      <c r="W53" s="83">
        <f>+W47/W31</f>
        <v>0.56050986794060442</v>
      </c>
      <c r="X53" s="83">
        <f>+X47/X31</f>
        <v>0.57665553039405348</v>
      </c>
      <c r="Y53" s="83">
        <f>+Y47/Y31</f>
        <v>0.57787712482455544</v>
      </c>
      <c r="Z53" s="382">
        <f t="shared" si="18"/>
        <v>9.0635281594620309E-2</v>
      </c>
      <c r="AA53" s="307"/>
    </row>
    <row r="54" spans="1:27" x14ac:dyDescent="0.2">
      <c r="A54" s="6" t="s">
        <v>93</v>
      </c>
      <c r="B54" s="89">
        <f t="shared" ref="B54:U54" si="20">-B37/B31</f>
        <v>0.90102528977871421</v>
      </c>
      <c r="C54" s="85">
        <f t="shared" si="20"/>
        <v>0.7799673735725936</v>
      </c>
      <c r="D54" s="85">
        <f t="shared" si="20"/>
        <v>0.60629789624319586</v>
      </c>
      <c r="E54" s="85">
        <f t="shared" si="20"/>
        <v>0.51796812445190077</v>
      </c>
      <c r="F54" s="85">
        <f t="shared" si="20"/>
        <v>0.483466852677785</v>
      </c>
      <c r="G54" s="85">
        <f t="shared" si="20"/>
        <v>0.46147561075251248</v>
      </c>
      <c r="H54" s="85">
        <f t="shared" si="20"/>
        <v>0.44478500295969908</v>
      </c>
      <c r="I54" s="85">
        <f t="shared" si="20"/>
        <v>0.52678673354392946</v>
      </c>
      <c r="J54" s="85">
        <f t="shared" si="20"/>
        <v>0.44977432413420487</v>
      </c>
      <c r="K54" s="85">
        <f t="shared" si="20"/>
        <v>0.46036698396693826</v>
      </c>
      <c r="L54" s="85">
        <f t="shared" si="20"/>
        <v>0.49328909168668278</v>
      </c>
      <c r="M54" s="85">
        <f t="shared" si="20"/>
        <v>0.63503935131451084</v>
      </c>
      <c r="N54" s="85">
        <f t="shared" si="20"/>
        <v>0.60930138389635513</v>
      </c>
      <c r="O54" s="85">
        <f t="shared" si="20"/>
        <v>0.56446944411649824</v>
      </c>
      <c r="P54" s="85">
        <f t="shared" si="20"/>
        <v>0.45834165076596584</v>
      </c>
      <c r="Q54" s="85">
        <f t="shared" si="20"/>
        <v>0.48778187873269024</v>
      </c>
      <c r="R54" s="85">
        <f t="shared" si="20"/>
        <v>0.54824566814165054</v>
      </c>
      <c r="S54" s="85">
        <f t="shared" si="20"/>
        <v>0.59990670781992328</v>
      </c>
      <c r="T54" s="85">
        <f t="shared" si="20"/>
        <v>0.55764578150813293</v>
      </c>
      <c r="U54" s="85">
        <f t="shared" si="20"/>
        <v>0.32467614067290929</v>
      </c>
      <c r="V54" s="85">
        <f>-V37/V31</f>
        <v>0.26171388635382142</v>
      </c>
      <c r="W54" s="85">
        <f>-W37/W31</f>
        <v>0.34696275200835125</v>
      </c>
      <c r="X54" s="85">
        <f>-X37/X31</f>
        <v>0.33412325493914569</v>
      </c>
      <c r="Y54" s="85">
        <f>-Y37/Y31</f>
        <v>0.32813228573219694</v>
      </c>
      <c r="Z54" s="382">
        <f t="shared" si="18"/>
        <v>-0.10063059710036637</v>
      </c>
    </row>
    <row r="55" spans="1:27" ht="15" x14ac:dyDescent="0.2">
      <c r="A55" s="23" t="s">
        <v>204</v>
      </c>
      <c r="B55" s="101">
        <f t="shared" ref="B55:X55" si="21">+B47*1000000/B149</f>
        <v>5.9070656656389699E-2</v>
      </c>
      <c r="C55" s="99">
        <f t="shared" si="21"/>
        <v>0.14536912881757261</v>
      </c>
      <c r="D55" s="99">
        <f t="shared" si="21"/>
        <v>0.31844796320637658</v>
      </c>
      <c r="E55" s="99">
        <f t="shared" si="21"/>
        <v>0.54704356862448411</v>
      </c>
      <c r="F55" s="99">
        <f t="shared" si="21"/>
        <v>0.77634580710620193</v>
      </c>
      <c r="G55" s="99">
        <f t="shared" si="21"/>
        <v>1.3694693966002796</v>
      </c>
      <c r="H55" s="99">
        <f t="shared" si="21"/>
        <v>1.6931367338733809</v>
      </c>
      <c r="I55" s="99">
        <f t="shared" si="21"/>
        <v>1.3564155714708785</v>
      </c>
      <c r="J55" s="99">
        <f t="shared" si="21"/>
        <v>1.65496951738506</v>
      </c>
      <c r="K55" s="99">
        <f t="shared" si="21"/>
        <v>1.9554197146346461</v>
      </c>
      <c r="L55" s="99">
        <f t="shared" si="21"/>
        <v>2.0498294475243384</v>
      </c>
      <c r="M55" s="99">
        <f t="shared" si="21"/>
        <v>1.1090996879001187</v>
      </c>
      <c r="N55" s="99">
        <f t="shared" si="21"/>
        <v>1.3320998275700062</v>
      </c>
      <c r="O55" s="99">
        <f t="shared" si="21"/>
        <v>1.728785984721692</v>
      </c>
      <c r="P55" s="100">
        <f t="shared" si="21"/>
        <v>2.8506702990301473</v>
      </c>
      <c r="Q55" s="100">
        <f t="shared" si="21"/>
        <v>2.6897904330636035</v>
      </c>
      <c r="R55" s="100">
        <f t="shared" si="21"/>
        <v>2.5297332482236459</v>
      </c>
      <c r="S55" s="100">
        <f t="shared" si="21"/>
        <v>2.3205442080583696</v>
      </c>
      <c r="T55" s="100">
        <f t="shared" si="21"/>
        <v>2.9381295709180173</v>
      </c>
      <c r="U55" s="100">
        <f t="shared" si="21"/>
        <v>8.6578190739384855</v>
      </c>
      <c r="V55" s="100">
        <f t="shared" si="21"/>
        <v>13.191750971523193</v>
      </c>
      <c r="W55" s="100">
        <f t="shared" si="21"/>
        <v>10.686945612594551</v>
      </c>
      <c r="X55" s="100">
        <f t="shared" si="21"/>
        <v>12.644787931666695</v>
      </c>
      <c r="Y55" s="100">
        <f t="shared" ref="Y55" si="22">+Y47*1000000/Y149</f>
        <v>14.332531180839094</v>
      </c>
      <c r="Z55" s="382">
        <f t="shared" si="18"/>
        <v>0.37293630770021813</v>
      </c>
      <c r="AA55" s="306"/>
    </row>
    <row r="56" spans="1:27" ht="15" x14ac:dyDescent="0.2">
      <c r="A56" s="6" t="s">
        <v>205</v>
      </c>
      <c r="B56" s="103">
        <f t="shared" ref="B56:X56" si="23">+B47*1000000/B150</f>
        <v>5.8942267423947765E-2</v>
      </c>
      <c r="C56" s="102">
        <f t="shared" si="23"/>
        <v>0.14493019343079486</v>
      </c>
      <c r="D56" s="102">
        <f t="shared" si="23"/>
        <v>0.3163152637150724</v>
      </c>
      <c r="E56" s="102">
        <f t="shared" si="23"/>
        <v>0.53724804333789766</v>
      </c>
      <c r="F56" s="102">
        <f t="shared" si="23"/>
        <v>0.7722752880070809</v>
      </c>
      <c r="G56" s="102">
        <f t="shared" si="23"/>
        <v>1.3609744781916222</v>
      </c>
      <c r="H56" s="102">
        <f t="shared" si="23"/>
        <v>1.6805654542484609</v>
      </c>
      <c r="I56" s="102">
        <f t="shared" si="23"/>
        <v>1.3499989918598305</v>
      </c>
      <c r="J56" s="102">
        <f t="shared" si="23"/>
        <v>1.6503382358464438</v>
      </c>
      <c r="K56" s="102">
        <f t="shared" si="23"/>
        <v>1.9249825208125999</v>
      </c>
      <c r="L56" s="102">
        <f t="shared" si="23"/>
        <v>2.0347227958438499</v>
      </c>
      <c r="M56" s="102">
        <f t="shared" si="23"/>
        <v>1.1090996879001187</v>
      </c>
      <c r="N56" s="99">
        <f t="shared" si="23"/>
        <v>1.3320998275700062</v>
      </c>
      <c r="O56" s="99">
        <f t="shared" si="23"/>
        <v>1.713032138257518</v>
      </c>
      <c r="P56" s="100">
        <f t="shared" si="23"/>
        <v>2.8245737275638931</v>
      </c>
      <c r="Q56" s="100">
        <f t="shared" si="23"/>
        <v>2.6878334069909831</v>
      </c>
      <c r="R56" s="100">
        <f t="shared" si="23"/>
        <v>2.5297332482236459</v>
      </c>
      <c r="S56" s="100">
        <f t="shared" si="23"/>
        <v>2.3144629046882748</v>
      </c>
      <c r="T56" s="100">
        <f t="shared" si="23"/>
        <v>2.9381295709180173</v>
      </c>
      <c r="U56" s="100">
        <f t="shared" si="23"/>
        <v>8.5781836779274983</v>
      </c>
      <c r="V56" s="100">
        <f t="shared" si="23"/>
        <v>12.998543732801718</v>
      </c>
      <c r="W56" s="100">
        <f t="shared" si="23"/>
        <v>10.666935423071155</v>
      </c>
      <c r="X56" s="100">
        <f t="shared" si="23"/>
        <v>12.63802404165703</v>
      </c>
      <c r="Y56" s="100">
        <f t="shared" ref="Y56" si="24">+Y47*1000000/Y150</f>
        <v>14.318938579983509</v>
      </c>
      <c r="Z56" s="382">
        <f t="shared" si="18"/>
        <v>0.37267579741960399</v>
      </c>
      <c r="AA56" s="306"/>
    </row>
    <row r="57" spans="1:27" x14ac:dyDescent="0.2">
      <c r="A57" s="23" t="s">
        <v>253</v>
      </c>
      <c r="B57" s="117">
        <f>B47/(('Quarterly Data 2001-2025'!B60+B60)/2)</f>
        <v>2.5352367385192191E-2</v>
      </c>
      <c r="C57" s="116">
        <f>C47/((B60+C60)/2)</f>
        <v>0.10454197730956254</v>
      </c>
      <c r="D57" s="116">
        <f>D47/((C60+D60)/2)</f>
        <v>0.20171306209850107</v>
      </c>
      <c r="E57" s="116">
        <f>E47/((D60+E60)/2)</f>
        <v>0.29404142943670492</v>
      </c>
      <c r="F57" s="116">
        <f t="shared" ref="F57:Q57" si="25">+F47/((E60+F60)/2)</f>
        <v>0.34142097631706136</v>
      </c>
      <c r="G57" s="116">
        <f t="shared" si="25"/>
        <v>0.44644985163204737</v>
      </c>
      <c r="H57" s="116">
        <f t="shared" si="25"/>
        <v>0.43699766614993418</v>
      </c>
      <c r="I57" s="116">
        <f t="shared" si="25"/>
        <v>0.30890359946128226</v>
      </c>
      <c r="J57" s="116">
        <f t="shared" si="25"/>
        <v>0.34549662310623319</v>
      </c>
      <c r="K57" s="116">
        <f t="shared" si="25"/>
        <v>0.36016365445005716</v>
      </c>
      <c r="L57" s="116">
        <f t="shared" si="25"/>
        <v>0.34314033983273695</v>
      </c>
      <c r="M57" s="116">
        <f t="shared" si="25"/>
        <v>0.18664773748387187</v>
      </c>
      <c r="N57" s="116">
        <f t="shared" si="25"/>
        <v>0.23713140197287289</v>
      </c>
      <c r="O57" s="116">
        <f t="shared" si="25"/>
        <v>0.31023324512119327</v>
      </c>
      <c r="P57" s="116">
        <f t="shared" si="25"/>
        <v>0.4284341452859351</v>
      </c>
      <c r="Q57" s="116">
        <f t="shared" si="25"/>
        <v>0.32777144153656573</v>
      </c>
      <c r="R57" s="116">
        <f>+R47/AVERAGE('Quarterly Data 2001-2025'!BN60:BR60)</f>
        <v>0.297783074771582</v>
      </c>
      <c r="S57" s="116">
        <f>+S47/AVERAGE('Quarterly Data 2001-2025'!BR60:BV60)</f>
        <v>0.24406330559355463</v>
      </c>
      <c r="T57" s="116">
        <f>+T47/AVERAGE('Quarterly Data 2001-2025'!BV60:BZ60)</f>
        <v>0.26782089135176185</v>
      </c>
      <c r="U57" s="116">
        <f>+U47/AVERAGE('Quarterly Data 2001-2025'!BZ60:CD60)</f>
        <v>0.56823731811697675</v>
      </c>
      <c r="V57" s="116">
        <f>+V47/AVERAGE('Quarterly Data 2001-2025'!CD60:CH60)</f>
        <v>0.50326023299213507</v>
      </c>
      <c r="W57" s="116">
        <f>+W47/AVERAGE('Quarterly Data 2001-2025'!CH60:CL60)</f>
        <v>0.36128961776675472</v>
      </c>
      <c r="X57" s="116">
        <f>+X47/AVERAGE('Quarterly Data 2001-2025'!CL60:CP60)</f>
        <v>0.37724449572263391</v>
      </c>
      <c r="Y57" s="116">
        <f>+Y47/AVERAGE('Quarterly Data 2001-2025'!CQ60:CT60)</f>
        <v>0.38283631468367169</v>
      </c>
      <c r="Z57" s="382">
        <f t="shared" si="18"/>
        <v>7.4072841011270762E-2</v>
      </c>
      <c r="AA57" s="307"/>
    </row>
    <row r="58" spans="1:27" x14ac:dyDescent="0.2">
      <c r="A58" s="58"/>
      <c r="B58" s="190"/>
      <c r="C58" s="87"/>
      <c r="D58" s="87"/>
      <c r="E58" s="87"/>
      <c r="F58" s="87"/>
      <c r="G58" s="87"/>
      <c r="H58" s="87"/>
      <c r="I58" s="87"/>
      <c r="J58" s="87"/>
      <c r="K58" s="87"/>
      <c r="L58" s="87"/>
      <c r="M58" s="87"/>
      <c r="N58" s="87"/>
      <c r="O58" s="87"/>
      <c r="P58" s="87"/>
      <c r="Q58" s="87"/>
      <c r="R58" s="87"/>
      <c r="S58" s="87"/>
      <c r="T58" s="87"/>
      <c r="U58" s="87"/>
      <c r="V58" s="87"/>
      <c r="W58" s="87"/>
      <c r="X58" s="87"/>
      <c r="Y58" s="86"/>
      <c r="Z58" s="61"/>
    </row>
    <row r="59" spans="1:27" x14ac:dyDescent="0.2">
      <c r="A59" s="135" t="s">
        <v>120</v>
      </c>
      <c r="B59" s="89"/>
      <c r="C59" s="85"/>
      <c r="D59" s="85"/>
      <c r="E59" s="85"/>
      <c r="F59" s="85"/>
      <c r="G59" s="85"/>
      <c r="H59" s="85"/>
      <c r="I59" s="85"/>
      <c r="J59" s="85"/>
      <c r="K59" s="85"/>
      <c r="L59" s="85"/>
      <c r="M59" s="85"/>
      <c r="N59" s="191"/>
      <c r="O59" s="191"/>
      <c r="P59" s="191"/>
      <c r="Q59" s="191"/>
      <c r="R59" s="191"/>
      <c r="S59" s="191"/>
      <c r="T59" s="191"/>
      <c r="U59" s="191"/>
      <c r="V59" s="191"/>
      <c r="W59" s="191"/>
      <c r="X59" s="191"/>
      <c r="Y59" s="63"/>
      <c r="Z59" s="394"/>
    </row>
    <row r="60" spans="1:27" s="198" customFormat="1" x14ac:dyDescent="0.2">
      <c r="A60" s="323" t="s">
        <v>255</v>
      </c>
      <c r="B60" s="26">
        <f>'Quarterly Data 2001-2025'!F60</f>
        <v>178.2</v>
      </c>
      <c r="C60" s="24">
        <f>'Quarterly Data 2001-2025'!J60</f>
        <v>192</v>
      </c>
      <c r="D60" s="24">
        <f>'Quarterly Data 2001-2025'!N60</f>
        <v>228.3</v>
      </c>
      <c r="E60" s="24">
        <f>'Quarterly Data 2001-2025'!R60</f>
        <v>267</v>
      </c>
      <c r="F60" s="24">
        <f>'Quarterly Data 2001-2025'!V60</f>
        <v>353.7</v>
      </c>
      <c r="G60" s="24">
        <f>'Quarterly Data 2001-2025'!Z60</f>
        <v>488.8</v>
      </c>
      <c r="H60" s="24">
        <f>'Quarterly Data 2001-2025'!AD60</f>
        <v>573</v>
      </c>
      <c r="I60" s="24">
        <f>'Quarterly Data 2001-2025'!AH60</f>
        <v>628</v>
      </c>
      <c r="J60" s="24">
        <f>'Quarterly Data 2001-2025'!AL60</f>
        <v>693</v>
      </c>
      <c r="K60" s="24">
        <f>'Quarterly Data 2001-2025'!AP60</f>
        <v>813</v>
      </c>
      <c r="L60" s="24">
        <f>'Quarterly Data 2001-2025'!AT60</f>
        <v>875.36</v>
      </c>
      <c r="M60" s="24">
        <f>+'Quarterly Data 2001-2025'!AX60</f>
        <v>828</v>
      </c>
      <c r="N60" s="24">
        <f>+'Quarterly Data 2001-2025'!BB60</f>
        <v>794</v>
      </c>
      <c r="O60" s="24">
        <f>+'Quarterly Data 2001-2025'!BF60</f>
        <v>815</v>
      </c>
      <c r="P60" s="24">
        <f>+'Quarterly Data 2001-2025'!BJ60</f>
        <v>1126</v>
      </c>
      <c r="Q60" s="24">
        <f>+'Quarterly Data 2001-2025'!BN60</f>
        <v>1308</v>
      </c>
      <c r="R60" s="24">
        <f>+'Quarterly Data 2001-2025'!BR60</f>
        <v>1427</v>
      </c>
      <c r="S60" s="24">
        <f>+'Quarterly Data 2001-2025'!BV60</f>
        <v>1614.3034072737</v>
      </c>
      <c r="T60" s="24">
        <f>+'Quarterly Data 2001-2025'!BZ60</f>
        <v>1945.3174540872683</v>
      </c>
      <c r="U60" s="24">
        <f>+'Quarterly Data 2001-2025'!CD60</f>
        <v>3172.1498589487301</v>
      </c>
      <c r="V60" s="24">
        <f>+'Quarterly Data 2001-2025'!CH60</f>
        <v>4700.0495713220498</v>
      </c>
      <c r="W60" s="24">
        <f>+'Quarterly Data 2001-2025'!CL60</f>
        <v>4950.7650541246503</v>
      </c>
      <c r="X60" s="24">
        <f>+'Quarterly Data 2001-2025'!CP60</f>
        <v>5832.4905086323297</v>
      </c>
      <c r="Y60" s="24">
        <f>+'Quarterly Data 2001-2025'!CT60</f>
        <v>6319.567056332331</v>
      </c>
      <c r="Z60" s="50">
        <f>+((Y60/T60)^(1/5))-1</f>
        <v>0.26572503041802298</v>
      </c>
    </row>
    <row r="61" spans="1:27" ht="15" x14ac:dyDescent="0.2">
      <c r="A61" s="18" t="s">
        <v>206</v>
      </c>
      <c r="B61" s="43" t="str">
        <f>'Quarterly Data 2001-2025'!F61</f>
        <v>N.A.</v>
      </c>
      <c r="C61" s="19" t="str">
        <f>'Quarterly Data 2001-2025'!J61</f>
        <v>N.A.</v>
      </c>
      <c r="D61" s="19" t="str">
        <f>'Quarterly Data 2001-2025'!N61</f>
        <v>N.A.</v>
      </c>
      <c r="E61" s="19" t="str">
        <f>'Quarterly Data 2001-2025'!R61</f>
        <v>N.A.</v>
      </c>
      <c r="F61" s="19" t="str">
        <f>'Quarterly Data 2001-2025'!V61</f>
        <v>N.A.</v>
      </c>
      <c r="G61" s="19" t="str">
        <f>'Quarterly Data 2001-2025'!Z61</f>
        <v>N.A.</v>
      </c>
      <c r="H61" s="54" t="str">
        <f>'Quarterly Data 2001-2025'!AD61</f>
        <v>-</v>
      </c>
      <c r="I61" s="54" t="str">
        <f>'Quarterly Data 2001-2025'!AH61</f>
        <v>-</v>
      </c>
      <c r="J61" s="54" t="str">
        <f>'Quarterly Data 2001-2025'!AL61</f>
        <v>-</v>
      </c>
      <c r="K61" s="54" t="str">
        <f>'Quarterly Data 2001-2025'!AP61</f>
        <v>-</v>
      </c>
      <c r="L61" s="54" t="str">
        <f>'Quarterly Data 2001-2025'!AT61</f>
        <v>-</v>
      </c>
      <c r="M61" s="54" t="str">
        <f>+'Quarterly Data 2001-2025'!AX61</f>
        <v>-</v>
      </c>
      <c r="N61" s="54" t="str">
        <f>+'Quarterly Data 2001-2025'!BB61</f>
        <v>-</v>
      </c>
      <c r="O61" s="54" t="str">
        <f>+'Quarterly Data 2001-2025'!BF61</f>
        <v>-</v>
      </c>
      <c r="P61" s="54" t="str">
        <f>+'Quarterly Data 2001-2025'!BJ61</f>
        <v>-</v>
      </c>
      <c r="Q61" s="54" t="str">
        <f>+'Quarterly Data 2001-2025'!BN61</f>
        <v>-</v>
      </c>
      <c r="R61" s="54" t="str">
        <f>+'Quarterly Data 2001-2025'!BR61</f>
        <v>-</v>
      </c>
      <c r="S61" s="54" t="str">
        <f>+'Quarterly Data 2001-2025'!BV61</f>
        <v>-</v>
      </c>
      <c r="T61" s="54">
        <f>+'Quarterly Data 2001-2025'!BZ61</f>
        <v>3.4516690427899892</v>
      </c>
      <c r="U61" s="54">
        <f>'Quarterly Data 2001-2025'!CD61</f>
        <v>4.8517466646414364</v>
      </c>
      <c r="V61" s="54">
        <v>4.7594033974381098</v>
      </c>
      <c r="W61" s="54">
        <v>5.45</v>
      </c>
      <c r="X61" s="54">
        <v>5.03</v>
      </c>
      <c r="Y61" s="269">
        <f>+'Quarterly Data 2001-2025'!CT61</f>
        <v>5.0299999999999994</v>
      </c>
      <c r="Z61" s="50" t="s">
        <v>34</v>
      </c>
    </row>
    <row r="62" spans="1:27" x14ac:dyDescent="0.2">
      <c r="A62" s="18" t="s">
        <v>197</v>
      </c>
      <c r="B62" s="43" t="str">
        <f>'Quarterly Data 2001-2025'!F62</f>
        <v>N.A.</v>
      </c>
      <c r="C62" s="19" t="str">
        <f>'Quarterly Data 2001-2025'!J62</f>
        <v>N.A.</v>
      </c>
      <c r="D62" s="19" t="str">
        <f>'Quarterly Data 2001-2025'!N62</f>
        <v>N.A.</v>
      </c>
      <c r="E62" s="19" t="str">
        <f>'Quarterly Data 2001-2025'!R62</f>
        <v>N.A.</v>
      </c>
      <c r="F62" s="19" t="str">
        <f>'Quarterly Data 2001-2025'!V62</f>
        <v>N.A.</v>
      </c>
      <c r="G62" s="19" t="str">
        <f>'Quarterly Data 2001-2025'!Z62</f>
        <v>N.A.</v>
      </c>
      <c r="H62" s="54" t="str">
        <f>'Quarterly Data 2001-2025'!AD62</f>
        <v>-</v>
      </c>
      <c r="I62" s="54" t="str">
        <f>'Quarterly Data 2001-2025'!AH62</f>
        <v>-</v>
      </c>
      <c r="J62" s="54" t="str">
        <f>'Quarterly Data 2001-2025'!AL62</f>
        <v>-</v>
      </c>
      <c r="K62" s="54" t="str">
        <f>'Quarterly Data 2001-2025'!AP62</f>
        <v>-</v>
      </c>
      <c r="L62" s="54" t="str">
        <f>'Quarterly Data 2001-2025'!AT62</f>
        <v>-</v>
      </c>
      <c r="M62" s="54" t="str">
        <f>+'Quarterly Data 2001-2025'!AX62</f>
        <v>-</v>
      </c>
      <c r="N62" s="54" t="str">
        <f>+'Quarterly Data 2001-2025'!BB62</f>
        <v>-</v>
      </c>
      <c r="O62" s="54" t="str">
        <f>+'Quarterly Data 2001-2025'!BF62</f>
        <v>-</v>
      </c>
      <c r="P62" s="54" t="str">
        <f>+'Quarterly Data 2001-2025'!BJ62</f>
        <v>-</v>
      </c>
      <c r="Q62" s="54" t="str">
        <f>+'Quarterly Data 2001-2025'!BN62</f>
        <v>-</v>
      </c>
      <c r="R62" s="54" t="str">
        <f>+'Quarterly Data 2001-2025'!BR62</f>
        <v>-</v>
      </c>
      <c r="S62" s="54">
        <f>+'Quarterly Data 2001-2025'!BV62</f>
        <v>0.17599999999999999</v>
      </c>
      <c r="T62" s="54">
        <f>+'Quarterly Data 2001-2025'!BZ62</f>
        <v>0.16858532715591101</v>
      </c>
      <c r="U62" s="54">
        <f>'Quarterly Data 2001-2025'!CD62</f>
        <v>0.24379043893188301</v>
      </c>
      <c r="V62" s="54">
        <v>0.2404</v>
      </c>
      <c r="W62" s="54">
        <v>0.26179999999999998</v>
      </c>
      <c r="X62" s="54">
        <v>0.24735697804455645</v>
      </c>
      <c r="Y62" s="269">
        <f>+'Quarterly Data 2001-2025'!CT62</f>
        <v>0.23039999999999999</v>
      </c>
      <c r="Z62" s="50" t="s">
        <v>34</v>
      </c>
    </row>
    <row r="63" spans="1:27" x14ac:dyDescent="0.2">
      <c r="A63" s="18" t="s">
        <v>198</v>
      </c>
      <c r="B63" s="43" t="str">
        <f>'Quarterly Data 2001-2025'!F63</f>
        <v>N.A.</v>
      </c>
      <c r="C63" s="19" t="str">
        <f>'Quarterly Data 2001-2025'!J63</f>
        <v>N.A.</v>
      </c>
      <c r="D63" s="19" t="str">
        <f>'Quarterly Data 2001-2025'!N63</f>
        <v>N.A.</v>
      </c>
      <c r="E63" s="19" t="str">
        <f>'Quarterly Data 2001-2025'!R63</f>
        <v>N.A.</v>
      </c>
      <c r="F63" s="19" t="str">
        <f>'Quarterly Data 2001-2025'!V63</f>
        <v>N.A.</v>
      </c>
      <c r="G63" s="19" t="str">
        <f>'Quarterly Data 2001-2025'!Z63</f>
        <v>N.A.</v>
      </c>
      <c r="H63" s="54" t="str">
        <f>'Quarterly Data 2001-2025'!AD63</f>
        <v>-</v>
      </c>
      <c r="I63" s="54" t="str">
        <f>'Quarterly Data 2001-2025'!AH63</f>
        <v>-</v>
      </c>
      <c r="J63" s="54" t="str">
        <f>'Quarterly Data 2001-2025'!AL63</f>
        <v>-</v>
      </c>
      <c r="K63" s="54" t="str">
        <f>'Quarterly Data 2001-2025'!AP63</f>
        <v>-</v>
      </c>
      <c r="L63" s="54" t="str">
        <f>'Quarterly Data 2001-2025'!AT63</f>
        <v>-</v>
      </c>
      <c r="M63" s="54" t="str">
        <f>+'Quarterly Data 2001-2025'!AX63</f>
        <v>-</v>
      </c>
      <c r="N63" s="54" t="str">
        <f>+'Quarterly Data 2001-2025'!BB63</f>
        <v>-</v>
      </c>
      <c r="O63" s="54" t="str">
        <f>+'Quarterly Data 2001-2025'!BF63</f>
        <v>-</v>
      </c>
      <c r="P63" s="54" t="str">
        <f>+'Quarterly Data 2001-2025'!BJ63</f>
        <v>-</v>
      </c>
      <c r="Q63" s="54" t="str">
        <f>+'Quarterly Data 2001-2025'!BN63</f>
        <v>-</v>
      </c>
      <c r="R63" s="54" t="str">
        <f>+'Quarterly Data 2001-2025'!BR63</f>
        <v>-</v>
      </c>
      <c r="S63" s="54">
        <f>+'Quarterly Data 2001-2025'!BV63</f>
        <v>2.35</v>
      </c>
      <c r="T63" s="54">
        <f>+'Quarterly Data 2001-2025'!BZ63</f>
        <v>2.2265576587614606</v>
      </c>
      <c r="U63" s="54">
        <f>'Quarterly Data 2001-2025'!CD63</f>
        <v>3.0473804866485388</v>
      </c>
      <c r="V63" s="54">
        <v>3.01</v>
      </c>
      <c r="W63" s="54">
        <v>3.2719318761840746</v>
      </c>
      <c r="X63" s="54">
        <v>3.092240076707621</v>
      </c>
      <c r="Y63" s="269">
        <f>+'Quarterly Data 2001-2025'!CT63</f>
        <v>2.8808479532163744</v>
      </c>
      <c r="Z63" s="50" t="s">
        <v>34</v>
      </c>
    </row>
    <row r="64" spans="1:27" ht="15" x14ac:dyDescent="0.2">
      <c r="A64" s="18" t="s">
        <v>207</v>
      </c>
      <c r="B64" s="43" t="str">
        <f>'Quarterly Data 2001-2025'!F64</f>
        <v>N.A.</v>
      </c>
      <c r="C64" s="19" t="str">
        <f>'Quarterly Data 2001-2025'!J64</f>
        <v>N.A.</v>
      </c>
      <c r="D64" s="19" t="str">
        <f>'Quarterly Data 2001-2025'!N64</f>
        <v>N.A.</v>
      </c>
      <c r="E64" s="19" t="str">
        <f>'Quarterly Data 2001-2025'!R64</f>
        <v>N.A.</v>
      </c>
      <c r="F64" s="19" t="str">
        <f>'Quarterly Data 2001-2025'!V64</f>
        <v>N.A.</v>
      </c>
      <c r="G64" s="19" t="str">
        <f>'Quarterly Data 2001-2025'!Z64</f>
        <v>N.A.</v>
      </c>
      <c r="H64" s="54">
        <f>'Quarterly Data 2001-2025'!AD64</f>
        <v>1.78</v>
      </c>
      <c r="I64" s="54">
        <f>'Quarterly Data 2001-2025'!AH64</f>
        <v>1.68</v>
      </c>
      <c r="J64" s="54">
        <f>'Quarterly Data 2001-2025'!AL64</f>
        <v>1.71</v>
      </c>
      <c r="K64" s="54">
        <f>'Quarterly Data 2001-2025'!AP64</f>
        <v>1.84</v>
      </c>
      <c r="L64" s="54">
        <f>'Quarterly Data 2001-2025'!AT64</f>
        <v>2.06</v>
      </c>
      <c r="M64" s="54">
        <f>+'Quarterly Data 2001-2025'!AX64</f>
        <v>2.21</v>
      </c>
      <c r="N64" s="54">
        <f>+'Quarterly Data 2001-2025'!BB64</f>
        <v>1.82</v>
      </c>
      <c r="O64" s="54">
        <f>+'Quarterly Data 2001-2025'!BF64</f>
        <v>1.72</v>
      </c>
      <c r="P64" s="54">
        <f>+'Quarterly Data 2001-2025'!BJ64</f>
        <v>1.67</v>
      </c>
      <c r="Q64" s="54">
        <f>+'Quarterly Data 2001-2025'!BN64</f>
        <v>1.66</v>
      </c>
      <c r="R64" s="54">
        <f>+'Quarterly Data 2001-2025'!BR64</f>
        <v>1.55</v>
      </c>
      <c r="S64" s="54">
        <f>+'Quarterly Data 2001-2025'!BV64</f>
        <v>1.34</v>
      </c>
      <c r="T64" s="54">
        <f>+'Quarterly Data 2001-2025'!BZ64</f>
        <v>1.3</v>
      </c>
      <c r="U64" s="54">
        <f>'Quarterly Data 2001-2025'!CD64</f>
        <v>1.75</v>
      </c>
      <c r="V64" s="54">
        <v>1.5738019592093258</v>
      </c>
      <c r="W64" s="54">
        <v>1.6390741202372394</v>
      </c>
      <c r="X64" s="54">
        <v>1.4635763390461036</v>
      </c>
      <c r="Y64" s="269">
        <f>+'Quarterly Data 2001-2025'!CT64</f>
        <v>1.41</v>
      </c>
      <c r="Z64" s="50" t="s">
        <v>34</v>
      </c>
    </row>
    <row r="65" spans="1:27" x14ac:dyDescent="0.2">
      <c r="A65" s="6"/>
      <c r="B65" s="96"/>
      <c r="C65" s="95"/>
      <c r="D65" s="95"/>
      <c r="E65" s="95"/>
      <c r="F65" s="95"/>
      <c r="G65" s="95"/>
      <c r="H65" s="95"/>
      <c r="I65" s="95"/>
      <c r="J65" s="95"/>
      <c r="K65" s="95"/>
      <c r="L65" s="95"/>
      <c r="M65" s="95"/>
      <c r="N65" s="95"/>
      <c r="O65" s="95"/>
      <c r="P65" s="97"/>
      <c r="Q65" s="98"/>
      <c r="R65" s="98"/>
      <c r="S65" s="98"/>
      <c r="T65" s="98"/>
      <c r="U65" s="98"/>
      <c r="V65" s="98"/>
      <c r="W65" s="98"/>
      <c r="X65" s="98"/>
      <c r="Y65" s="98"/>
      <c r="Z65" s="17"/>
    </row>
    <row r="66" spans="1:27" x14ac:dyDescent="0.2">
      <c r="A66" s="135" t="s">
        <v>121</v>
      </c>
      <c r="B66" s="41"/>
      <c r="C66" s="14"/>
      <c r="D66" s="14"/>
      <c r="E66" s="14"/>
      <c r="F66" s="14"/>
      <c r="G66" s="14"/>
      <c r="H66" s="14"/>
      <c r="I66" s="14"/>
      <c r="J66" s="14"/>
      <c r="K66" s="14"/>
      <c r="L66" s="14"/>
      <c r="M66" s="14"/>
      <c r="N66" s="14"/>
      <c r="O66" s="14"/>
      <c r="P66" s="14"/>
      <c r="Q66" s="15"/>
      <c r="R66" s="15"/>
      <c r="S66" s="15"/>
      <c r="T66" s="15"/>
      <c r="U66" s="15"/>
      <c r="V66" s="15"/>
      <c r="W66" s="15"/>
      <c r="X66" s="15"/>
      <c r="Y66" s="15"/>
      <c r="Z66" s="42"/>
    </row>
    <row r="67" spans="1:27" s="198" customFormat="1" x14ac:dyDescent="0.2">
      <c r="A67" s="323" t="s">
        <v>129</v>
      </c>
      <c r="B67" s="26" t="str">
        <f>+'Quarterly Data 2001-2025'!O67</f>
        <v>N.A.</v>
      </c>
      <c r="C67" s="24" t="str">
        <f>+'Quarterly Data 2001-2025'!J67</f>
        <v>N.A.</v>
      </c>
      <c r="D67" s="24" t="str">
        <f>+'Quarterly Data 2001-2025'!N67</f>
        <v>N.A.</v>
      </c>
      <c r="E67" s="24" t="str">
        <f>+'Quarterly Data 2001-2025'!R67</f>
        <v>N.A.</v>
      </c>
      <c r="F67" s="24" t="str">
        <f>+'Quarterly Data 2001-2025'!V67</f>
        <v>N.A.</v>
      </c>
      <c r="G67" s="24" t="str">
        <f>+'Quarterly Data 2001-2025'!Z67</f>
        <v>N.A.</v>
      </c>
      <c r="H67" s="24" t="s">
        <v>34</v>
      </c>
      <c r="I67" s="24" t="s">
        <v>34</v>
      </c>
      <c r="J67" s="51">
        <f t="shared" ref="J67:S67" si="26">+J68-I68</f>
        <v>27.437209302325584</v>
      </c>
      <c r="K67" s="51">
        <f t="shared" si="26"/>
        <v>34.200000000000017</v>
      </c>
      <c r="L67" s="51">
        <f t="shared" si="26"/>
        <v>26.199999999999989</v>
      </c>
      <c r="M67" s="51">
        <f t="shared" si="26"/>
        <v>20.286000000000001</v>
      </c>
      <c r="N67" s="51">
        <f t="shared" si="26"/>
        <v>33.213999999999999</v>
      </c>
      <c r="O67" s="51">
        <f t="shared" si="26"/>
        <v>54.699999999999989</v>
      </c>
      <c r="P67" s="51">
        <f t="shared" si="26"/>
        <v>96.400000000000034</v>
      </c>
      <c r="Q67" s="51">
        <f t="shared" si="26"/>
        <v>103</v>
      </c>
      <c r="R67" s="51">
        <f t="shared" si="26"/>
        <v>140.04200000000003</v>
      </c>
      <c r="S67" s="51">
        <f t="shared" si="26"/>
        <v>126.49599999999998</v>
      </c>
      <c r="T67" s="51">
        <f t="shared" ref="T67:Y67" si="27">+T68-S68</f>
        <v>139.28399999999999</v>
      </c>
      <c r="U67" s="51">
        <f t="shared" si="27"/>
        <v>303.9079999999999</v>
      </c>
      <c r="V67" s="51">
        <f t="shared" si="27"/>
        <v>379.80700000000002</v>
      </c>
      <c r="W67" s="51">
        <f t="shared" si="27"/>
        <v>116.55400000000009</v>
      </c>
      <c r="X67" s="51">
        <f t="shared" si="27"/>
        <v>124.36099999999988</v>
      </c>
      <c r="Y67" s="51">
        <f t="shared" si="27"/>
        <v>170.65699999999993</v>
      </c>
      <c r="Z67" s="396" t="s">
        <v>34</v>
      </c>
    </row>
    <row r="68" spans="1:27" x14ac:dyDescent="0.2">
      <c r="A68" s="23" t="s">
        <v>32</v>
      </c>
      <c r="B68" s="53" t="str">
        <f>+'Quarterly Data 2001-2025'!O68</f>
        <v>N.A.</v>
      </c>
      <c r="C68" s="51" t="str">
        <f>+'Quarterly Data 2001-2025'!J68</f>
        <v>N.A.</v>
      </c>
      <c r="D68" s="51" t="str">
        <f>+'Quarterly Data 2001-2025'!N68</f>
        <v>N.A.</v>
      </c>
      <c r="E68" s="51" t="str">
        <f>+'Quarterly Data 2001-2025'!R68</f>
        <v>N.A.</v>
      </c>
      <c r="F68" s="51" t="str">
        <f>+'Quarterly Data 2001-2025'!V68</f>
        <v>N.A.</v>
      </c>
      <c r="G68" s="51" t="str">
        <f>+'Quarterly Data 2001-2025'!Z68</f>
        <v>N.A.</v>
      </c>
      <c r="H68" s="51" t="s">
        <v>34</v>
      </c>
      <c r="I68" s="51">
        <v>175.16279069767441</v>
      </c>
      <c r="J68" s="51">
        <f>'Quarterly Data 2001-2025'!AL68</f>
        <v>202.6</v>
      </c>
      <c r="K68" s="51">
        <f>'Quarterly Data 2001-2025'!AP68</f>
        <v>236.8</v>
      </c>
      <c r="L68" s="51">
        <f>'Quarterly Data 2001-2025'!AT68</f>
        <v>263</v>
      </c>
      <c r="M68" s="51">
        <f>'Quarterly Data 2001-2025'!AX68</f>
        <v>283.286</v>
      </c>
      <c r="N68" s="51">
        <f>'Quarterly Data 2001-2025'!BB68</f>
        <v>316.5</v>
      </c>
      <c r="O68" s="51">
        <f>'Quarterly Data 2001-2025'!BF68</f>
        <v>371.2</v>
      </c>
      <c r="P68" s="51">
        <f>'Quarterly Data 2001-2025'!BJ68</f>
        <v>467.6</v>
      </c>
      <c r="Q68" s="51">
        <f>+'Quarterly Data 2001-2025'!BN68</f>
        <v>570.6</v>
      </c>
      <c r="R68" s="51">
        <f>+'Quarterly Data 2001-2025'!BR68</f>
        <v>710.64200000000005</v>
      </c>
      <c r="S68" s="51">
        <f>+'Quarterly Data 2001-2025'!BV68</f>
        <v>837.13800000000003</v>
      </c>
      <c r="T68" s="51">
        <f>+'Quarterly Data 2001-2025'!BZ68</f>
        <v>976.42200000000003</v>
      </c>
      <c r="U68" s="51">
        <f>+'Quarterly Data 2001-2025'!CD68</f>
        <v>1280.33</v>
      </c>
      <c r="V68" s="51">
        <f>+'Quarterly Data 2001-2025'!CH68</f>
        <v>1660.1369999999999</v>
      </c>
      <c r="W68" s="51">
        <f>+'Quarterly Data 2001-2025'!CL68</f>
        <v>1776.691</v>
      </c>
      <c r="X68" s="51">
        <f>+'Quarterly Data 2001-2025'!CP68</f>
        <v>1901.0519999999999</v>
      </c>
      <c r="Y68" s="51">
        <f>+'Quarterly Data 2001-2025'!CT68</f>
        <v>2071.7089999999998</v>
      </c>
      <c r="Z68" s="382">
        <f>+((Y68/T68)^(1/5))-1</f>
        <v>0.16235353122625273</v>
      </c>
    </row>
    <row r="69" spans="1:27" x14ac:dyDescent="0.2">
      <c r="A69" s="23" t="s">
        <v>221</v>
      </c>
      <c r="B69" s="51" t="s">
        <v>34</v>
      </c>
      <c r="C69" s="51" t="s">
        <v>34</v>
      </c>
      <c r="D69" s="51" t="s">
        <v>34</v>
      </c>
      <c r="E69" s="51" t="s">
        <v>34</v>
      </c>
      <c r="F69" s="51" t="s">
        <v>34</v>
      </c>
      <c r="G69" s="51" t="s">
        <v>34</v>
      </c>
      <c r="H69" s="51" t="s">
        <v>34</v>
      </c>
      <c r="I69" s="51" t="s">
        <v>34</v>
      </c>
      <c r="J69" s="51" t="s">
        <v>34</v>
      </c>
      <c r="K69" s="51" t="s">
        <v>34</v>
      </c>
      <c r="L69" s="51" t="s">
        <v>34</v>
      </c>
      <c r="M69" s="51" t="s">
        <v>34</v>
      </c>
      <c r="N69" s="51" t="s">
        <v>34</v>
      </c>
      <c r="O69" s="51" t="s">
        <v>34</v>
      </c>
      <c r="P69" s="51" t="s">
        <v>34</v>
      </c>
      <c r="Q69" s="51" t="s">
        <v>34</v>
      </c>
      <c r="R69" s="51" t="s">
        <v>34</v>
      </c>
      <c r="S69" s="51" t="s">
        <v>34</v>
      </c>
      <c r="T69" s="51" t="s">
        <v>34</v>
      </c>
      <c r="U69" s="51" t="s">
        <v>34</v>
      </c>
      <c r="V69" s="51">
        <f>AVERAGE('Quarterly Data 2001-2025'!CE69:CH69)</f>
        <v>493.51549999999997</v>
      </c>
      <c r="W69" s="51">
        <f>AVERAGE('Quarterly Data 2001-2025'!CI69:CL69)</f>
        <v>368.53399999999999</v>
      </c>
      <c r="X69" s="51">
        <f>AVERAGE('Quarterly Data 2001-2025'!CM69:CP69)</f>
        <v>361.28449999999998</v>
      </c>
      <c r="Y69" s="51">
        <f>AVERAGE('Quarterly Data 2001-2025'!CQ69:CT69)</f>
        <v>411.55428941710448</v>
      </c>
      <c r="Z69" s="114" t="s">
        <v>34</v>
      </c>
    </row>
    <row r="70" spans="1:27" x14ac:dyDescent="0.2">
      <c r="A70" s="6"/>
      <c r="B70" s="41"/>
      <c r="C70" s="14"/>
      <c r="D70" s="14"/>
      <c r="E70" s="14"/>
      <c r="F70" s="14"/>
      <c r="G70" s="14"/>
      <c r="H70" s="14"/>
      <c r="I70" s="14"/>
      <c r="J70" s="14"/>
      <c r="K70" s="14"/>
      <c r="L70" s="14"/>
      <c r="M70" s="14"/>
      <c r="N70" s="14"/>
      <c r="O70" s="14"/>
      <c r="P70" s="56"/>
      <c r="Q70" s="56"/>
      <c r="R70" s="56"/>
      <c r="S70" s="62"/>
      <c r="T70" s="62"/>
      <c r="U70" s="62"/>
      <c r="V70" s="62"/>
      <c r="W70" s="62"/>
      <c r="X70" s="62"/>
      <c r="Y70" s="62"/>
      <c r="Z70" s="394"/>
    </row>
    <row r="71" spans="1:27" s="322" customFormat="1" x14ac:dyDescent="0.2">
      <c r="A71" s="321" t="s">
        <v>84</v>
      </c>
      <c r="B71" s="55" t="s">
        <v>49</v>
      </c>
      <c r="C71" s="54" t="s">
        <v>49</v>
      </c>
      <c r="D71" s="54" t="s">
        <v>49</v>
      </c>
      <c r="E71" s="54" t="s">
        <v>49</v>
      </c>
      <c r="F71" s="54" t="s">
        <v>49</v>
      </c>
      <c r="G71" s="54" t="s">
        <v>49</v>
      </c>
      <c r="H71" s="54" t="s">
        <v>49</v>
      </c>
      <c r="I71" s="54">
        <f t="shared" ref="I71:Y71" si="28">+I88/(I68*1000)</f>
        <v>0.20496420419543282</v>
      </c>
      <c r="J71" s="54">
        <f t="shared" si="28"/>
        <v>0.31798124383020732</v>
      </c>
      <c r="K71" s="54">
        <f t="shared" si="28"/>
        <v>0.3627069256756757</v>
      </c>
      <c r="L71" s="54">
        <f t="shared" si="28"/>
        <v>0.29194676806083653</v>
      </c>
      <c r="M71" s="54">
        <f t="shared" si="28"/>
        <v>0.3130017014607146</v>
      </c>
      <c r="N71" s="54">
        <f t="shared" si="28"/>
        <v>0.36600631911532383</v>
      </c>
      <c r="O71" s="54">
        <f t="shared" si="28"/>
        <v>0.39675571186147629</v>
      </c>
      <c r="P71" s="54">
        <f t="shared" si="28"/>
        <v>0.4238434438812908</v>
      </c>
      <c r="Q71" s="54">
        <f t="shared" si="28"/>
        <v>0.41911146161934804</v>
      </c>
      <c r="R71" s="54">
        <f t="shared" si="28"/>
        <v>0.39813437016412223</v>
      </c>
      <c r="S71" s="54">
        <f t="shared" si="28"/>
        <v>0.35833913147105156</v>
      </c>
      <c r="T71" s="54">
        <f t="shared" si="28"/>
        <v>0.41756404861041718</v>
      </c>
      <c r="U71" s="54">
        <f t="shared" si="28"/>
        <v>0.44559538806949406</v>
      </c>
      <c r="V71" s="54">
        <f t="shared" si="28"/>
        <v>0.48767025459612362</v>
      </c>
      <c r="W71" s="54">
        <f t="shared" si="28"/>
        <v>0.3736464902029491</v>
      </c>
      <c r="X71" s="54">
        <f t="shared" si="28"/>
        <v>0.41119460448382478</v>
      </c>
      <c r="Y71" s="54">
        <f t="shared" si="28"/>
        <v>0.46095349982205602</v>
      </c>
      <c r="Z71" s="50">
        <f>+((Y71/T71)^(1/5))-1</f>
        <v>1.9968603045829703E-2</v>
      </c>
    </row>
    <row r="72" spans="1:27" x14ac:dyDescent="0.2">
      <c r="A72" s="23" t="s">
        <v>76</v>
      </c>
      <c r="B72" s="43" t="s">
        <v>49</v>
      </c>
      <c r="C72" s="19" t="s">
        <v>49</v>
      </c>
      <c r="D72" s="19" t="s">
        <v>49</v>
      </c>
      <c r="E72" s="19" t="s">
        <v>49</v>
      </c>
      <c r="F72" s="19" t="s">
        <v>49</v>
      </c>
      <c r="G72" s="19" t="s">
        <v>49</v>
      </c>
      <c r="H72" s="19" t="s">
        <v>49</v>
      </c>
      <c r="I72" s="19" t="s">
        <v>49</v>
      </c>
      <c r="J72" s="24">
        <f>J31*1000/(('Quarterly Data 2001-2025'!$AH$68+'Quarterly Data 2001-2025'!$AI$68+'Quarterly Data 2001-2025'!$AJ$68+'Quarterly Data 2001-2025'!$AK$68+'Quarterly Data 2001-2025'!$AL$68)/5)</f>
        <v>2705.3536760686434</v>
      </c>
      <c r="K72" s="24">
        <f>K31*1000/(('Quarterly Data 2001-2025'!$AL$68+'Quarterly Data 2001-2025'!$AM$68+'Quarterly Data 2001-2025'!$AN$68+'Quarterly Data 2001-2025'!$AO$68+'Quarterly Data 2001-2025'!$AP$68)/5)</f>
        <v>2762.4287828787474</v>
      </c>
      <c r="L72" s="24">
        <f>L31*1000/(('Quarterly Data 2001-2025'!$AP$68+'Quarterly Data 2001-2025'!$AQ$68+'Quarterly Data 2001-2025'!$AR$68+'Quarterly Data 2001-2025'!$AS$68+'Quarterly Data 2001-2025'!$AT$68)/5)</f>
        <v>2712.2623210082693</v>
      </c>
      <c r="M72" s="24">
        <f>M31*1000/(('Quarterly Data 2001-2025'!$AT$68+'Quarterly Data 2001-2025'!$AU$68+'Quarterly Data 2001-2025'!$AV$68+'Quarterly Data 2001-2025'!$AW$68+'Quarterly Data 2001-2025'!$AX$68)/5)</f>
        <v>2009.5706277977806</v>
      </c>
      <c r="N72" s="24">
        <f>N31*1000/(('Quarterly Data 2001-2025'!$AX$68+'Quarterly Data 2001-2025'!$AY$68+'Quarterly Data 2001-2025'!$AZ$68+'Quarterly Data 2001-2025'!$BA$68+'Quarterly Data 2001-2025'!$BB$68)/5)</f>
        <v>1934.4742971147202</v>
      </c>
      <c r="O72" s="24">
        <f>O31*1000/(('Quarterly Data 2001-2025'!$BB$68+'Quarterly Data 2001-2025'!$BC$68+'Quarterly Data 2001-2025'!$BD$68+'Quarterly Data 2001-2025'!$BE$68+'Quarterly Data 2001-2025'!$BF$68)/5)</f>
        <v>1975.1023760559276</v>
      </c>
      <c r="P72" s="24">
        <f>P31*1000/(('Quarterly Data 2001-2025'!$BF$68+'Quarterly Data 2001-2025'!$BG$68+'Quarterly Data 2001-2025'!$BH$68+'Quarterly Data 2001-2025'!$BI$68+'Quarterly Data 2001-2025'!$BJ$68)/5)</f>
        <v>2125.7135406789307</v>
      </c>
      <c r="Q72" s="24">
        <f>Q31*1000/(('Quarterly Data 2001-2025'!$BJ$68+'Quarterly Data 2001-2025'!$BK$68+'Quarterly Data 2001-2025'!$BL$68+'Quarterly Data 2001-2025'!$BM$68+'Quarterly Data 2001-2025'!$BN$68)/5)</f>
        <v>1753.9240972704818</v>
      </c>
      <c r="R72" s="24">
        <f>R31*1000/(('Quarterly Data 2001-2025'!$BN$68+'Quarterly Data 2001-2025'!$BO$68+'Quarterly Data 2001-2025'!$BP$68+'Quarterly Data 2001-2025'!$BQ$68+'Quarterly Data 2001-2025'!$BR$68)/5)</f>
        <v>1526.449489162324</v>
      </c>
      <c r="S72" s="24">
        <f>S31*1000/(('Quarterly Data 2001-2025'!$BR$68+'Quarterly Data 2001-2025'!$BS$68+'Quarterly Data 2001-2025'!$BT$68+'Quarterly Data 2001-2025'!$BU$68+'Quarterly Data 2001-2025'!$BV$68)/5)</f>
        <v>1349.8180958010885</v>
      </c>
      <c r="T72" s="24">
        <f>T31*1000/(('Quarterly Data 2001-2025'!$BV$68+'Quarterly Data 2001-2025'!$BW$68+'Quarterly Data 2001-2025'!$BX$68+'Quarterly Data 2001-2025'!$BY$68+'Quarterly Data 2001-2025'!$BZ$68)/5)</f>
        <v>1318.5122631024319</v>
      </c>
      <c r="U72" s="24">
        <f>U31*1000/(('Quarterly Data 2001-2025'!$BZ$68+'Quarterly Data 2001-2025'!$CA$68+'Quarterly Data 2001-2025'!$CB$68+'Quarterly Data 2001-2025'!$CC$68+'Quarterly Data 2001-2025'!$CD$68)/5)</f>
        <v>2086.1237392977723</v>
      </c>
      <c r="V72" s="24">
        <f>(V31*1000)/(AVERAGE('Quarterly Data 2001-2025'!CD68:CH68))</f>
        <v>2206.7924199117952</v>
      </c>
      <c r="W72" s="24">
        <f>(W31*1000)/(AVERAGE('Quarterly Data 2001-2025'!CH68:CL68))</f>
        <v>1716.1860709058708</v>
      </c>
      <c r="X72" s="24">
        <f>(X31*1000)/(AVERAGE('Quarterly Data 2001-2025'!CL68:CP68))</f>
        <v>1865.9296046408424</v>
      </c>
      <c r="Y72" s="69">
        <f>Y31/((X68+Y68)/2/1000)</f>
        <v>1963.2678603381914</v>
      </c>
      <c r="Z72" s="382">
        <f>+((Y72/T72)^(1/5))-1</f>
        <v>8.2876868363178646E-2</v>
      </c>
      <c r="AA72" s="306"/>
    </row>
    <row r="73" spans="1:27" x14ac:dyDescent="0.2">
      <c r="A73" s="23" t="s">
        <v>77</v>
      </c>
      <c r="B73" s="43" t="s">
        <v>49</v>
      </c>
      <c r="C73" s="19" t="s">
        <v>49</v>
      </c>
      <c r="D73" s="19" t="s">
        <v>49</v>
      </c>
      <c r="E73" s="19" t="s">
        <v>49</v>
      </c>
      <c r="F73" s="19" t="s">
        <v>49</v>
      </c>
      <c r="G73" s="19" t="s">
        <v>49</v>
      </c>
      <c r="H73" s="19" t="s">
        <v>49</v>
      </c>
      <c r="I73" s="19" t="s">
        <v>49</v>
      </c>
      <c r="J73" s="24">
        <f>J37*1000/(('Quarterly Data 2001-2025'!$AH$68+'Quarterly Data 2001-2025'!$AI$68+'Quarterly Data 2001-2025'!$AJ$68+'Quarterly Data 2001-2025'!$AK$68+'Quarterly Data 2001-2025'!$AL$68)/5)</f>
        <v>-1216.7986211977607</v>
      </c>
      <c r="K73" s="24">
        <f>K37*1000/(('Quarterly Data 2001-2025'!$AL$68+'Quarterly Data 2001-2025'!$AM$68+'Quarterly Data 2001-2025'!$AN$68+'Quarterly Data 2001-2025'!$AO$68+'Quarterly Data 2001-2025'!$AP$68)/5)</f>
        <v>-1271.7310071973488</v>
      </c>
      <c r="L73" s="24">
        <f>L37*1000/(('Quarterly Data 2001-2025'!$AP$68+'Quarterly Data 2001-2025'!$AQ$68+'Quarterly Data 2001-2025'!$AR$68+'Quarterly Data 2001-2025'!$AS$68+'Quarterly Data 2001-2025'!$AT$68)/5)</f>
        <v>-1337.9294167461833</v>
      </c>
      <c r="M73" s="24">
        <f>M37*1000/(('Quarterly Data 2001-2025'!$AT$68+'Quarterly Data 2001-2025'!$AU$68+'Quarterly Data 2001-2025'!$AV$68+'Quarterly Data 2001-2025'!$AW$68+'Quarterly Data 2001-2025'!$AX$68)/5)</f>
        <v>-1276.156427897397</v>
      </c>
      <c r="N73" s="24">
        <f>N37*1000/(('Quarterly Data 2001-2025'!$AX$68+'Quarterly Data 2001-2025'!$AY$68+'Quarterly Data 2001-2025'!$AZ$68+'Quarterly Data 2001-2025'!$BA$68+'Quarterly Data 2001-2025'!$BB$68)/5)</f>
        <v>-1178.6778663439279</v>
      </c>
      <c r="O73" s="24">
        <f>O37*1000/(('Quarterly Data 2001-2025'!$BB$68+'Quarterly Data 2001-2025'!$BC$68+'Quarterly Data 2001-2025'!$BD$68+'Quarterly Data 2001-2025'!$BE$68+'Quarterly Data 2001-2025'!$BF$68)/5)</f>
        <v>-1114.8849402854644</v>
      </c>
      <c r="P73" s="24">
        <f>P37*1000/(('Quarterly Data 2001-2025'!$BF$68+'Quarterly Data 2001-2025'!$BG$68+'Quarterly Data 2001-2025'!$BH$68+'Quarterly Data 2001-2025'!$BI$68+'Quarterly Data 2001-2025'!$BJ$68)/5)</f>
        <v>-974.30305329034707</v>
      </c>
      <c r="Q73" s="24">
        <f>Q37*1000/(('Quarterly Data 2001-2025'!$BJ$68+'Quarterly Data 2001-2025'!$BK$68+'Quarterly Data 2001-2025'!$BL$68+'Quarterly Data 2001-2025'!$BM$68+'Quarterly Data 2001-2025'!$BN$68)/5)</f>
        <v>-855.53239132113333</v>
      </c>
      <c r="R73" s="24">
        <f>R37*1000/(('Quarterly Data 2001-2025'!$BN$68+'Quarterly Data 2001-2025'!$BO$68+'Quarterly Data 2001-2025'!$BP$68+'Quarterly Data 2001-2025'!$BQ$68+'Quarterly Data 2001-2025'!$BR$68)/5)</f>
        <v>-836.86932007027951</v>
      </c>
      <c r="S73" s="24">
        <f>(S37+35)*1000/(('Quarterly Data 2001-2025'!$BR$68+'Quarterly Data 2001-2025'!$BS$68+'Quarterly Data 2001-2025'!$BT$68+'Quarterly Data 2001-2025'!$BU$68+'Quarterly Data 2001-2025'!$BV$68)/5)</f>
        <v>-764.72796495364264</v>
      </c>
      <c r="T73" s="24">
        <f>T37*1000/(('Quarterly Data 2001-2025'!$BV$68+'Quarterly Data 2001-2025'!$BW$68+'Quarterly Data 2001-2025'!$BX$68+'Quarterly Data 2001-2025'!$BY$68+'Quarterly Data 2001-2025'!$BZ$68)/5)</f>
        <v>-735.26280138581262</v>
      </c>
      <c r="U73" s="24">
        <f>U37*1000/(('Quarterly Data 2001-2025'!$BZ$68+'Quarterly Data 2001-2025'!$CA$68+'Quarterly Data 2001-2025'!$CB$68+'Quarterly Data 2001-2025'!$CC$68+'Quarterly Data 2001-2025'!$CD$68)/5)</f>
        <v>-677.31460464133909</v>
      </c>
      <c r="V73" s="24">
        <f>(V37*1000)/(AVERAGE('Quarterly Data 2001-2025'!CD68:CH68))</f>
        <v>-577.54822059127025</v>
      </c>
      <c r="W73" s="24">
        <f>(W37*1000)/(AVERAGE('Quarterly Data 2001-2025'!CH68:CL68))</f>
        <v>-595.45264211990036</v>
      </c>
      <c r="X73" s="24">
        <f>(X37*1000)/(AVERAGE('Quarterly Data 2001-2025'!CL68:CP68))</f>
        <v>-623.45047298991142</v>
      </c>
      <c r="Y73" s="24">
        <f>(Y37*1000)/(AVERAGE('Quarterly Data 2001-2025'!CQ68:CT68))</f>
        <v>-637.271898866117</v>
      </c>
      <c r="Z73" s="382">
        <f>+((Y73/T73)^(1/5))-1</f>
        <v>-2.8201029301946456E-2</v>
      </c>
      <c r="AA73" s="306"/>
    </row>
    <row r="74" spans="1:27" x14ac:dyDescent="0.2">
      <c r="A74" s="23" t="s">
        <v>78</v>
      </c>
      <c r="B74" s="43" t="s">
        <v>49</v>
      </c>
      <c r="C74" s="19" t="s">
        <v>49</v>
      </c>
      <c r="D74" s="19" t="s">
        <v>49</v>
      </c>
      <c r="E74" s="19" t="s">
        <v>49</v>
      </c>
      <c r="F74" s="19" t="s">
        <v>49</v>
      </c>
      <c r="G74" s="19" t="s">
        <v>49</v>
      </c>
      <c r="H74" s="19" t="s">
        <v>49</v>
      </c>
      <c r="I74" s="19" t="s">
        <v>49</v>
      </c>
      <c r="J74" s="24">
        <f>J43*1000/(('Quarterly Data 2001-2025'!$AH$68+'Quarterly Data 2001-2025'!$AI$68+'Quarterly Data 2001-2025'!$AJ$68+'Quarterly Data 2001-2025'!$AK$68+'Quarterly Data 2001-2025'!$AL$68)/5)</f>
        <v>1488.5550548708829</v>
      </c>
      <c r="K74" s="24">
        <f>K43*1000/(('Quarterly Data 2001-2025'!$AL$68+'Quarterly Data 2001-2025'!$AM$68+'Quarterly Data 2001-2025'!$AN$68+'Quarterly Data 2001-2025'!$AO$68+'Quarterly Data 2001-2025'!$AP$68)/5)</f>
        <v>1490.6977756813983</v>
      </c>
      <c r="L74" s="24">
        <f>L43*1000/(('Quarterly Data 2001-2025'!$AP$68+'Quarterly Data 2001-2025'!$AQ$68+'Quarterly Data 2001-2025'!$AR$68+'Quarterly Data 2001-2025'!$AS$68+'Quarterly Data 2001-2025'!$AT$68)/5)</f>
        <v>1350.4779424300252</v>
      </c>
      <c r="M74" s="24">
        <f>M43*1000/(('Quarterly Data 2001-2025'!$AT$68+'Quarterly Data 2001-2025'!$AU$68+'Quarterly Data 2001-2025'!$AV$68+'Quarterly Data 2001-2025'!$AW$68+'Quarterly Data 2001-2025'!$AX$68)/5)</f>
        <v>729.76472203118249</v>
      </c>
      <c r="N74" s="24">
        <f>N43*1000/(('Quarterly Data 2001-2025'!$AX$68+'Quarterly Data 2001-2025'!$AY$68+'Quarterly Data 2001-2025'!$AZ$68+'Quarterly Data 2001-2025'!$BA$68+'Quarterly Data 2001-2025'!$BB$68)/5)</f>
        <v>752.45683235082322</v>
      </c>
      <c r="O74" s="24">
        <f>O43*1000/(('Quarterly Data 2001-2025'!$BB$68+'Quarterly Data 2001-2025'!$BC$68+'Quarterly Data 2001-2025'!$BD$68+'Quarterly Data 2001-2025'!$BE$68+'Quarterly Data 2001-2025'!$BF$68)/5)</f>
        <v>861.38259743664423</v>
      </c>
      <c r="P74" s="24">
        <f>P43*1000/(('Quarterly Data 2001-2025'!$BF$68+'Quarterly Data 2001-2025'!$BG$68+'Quarterly Data 2001-2025'!$BH$68+'Quarterly Data 2001-2025'!$BI$68+'Quarterly Data 2001-2025'!$BJ$68)/5)</f>
        <v>1150.8992461596815</v>
      </c>
      <c r="Q74" s="24">
        <f>Q43*1000/(('Quarterly Data 2001-2025'!$BJ$68+'Quarterly Data 2001-2025'!$BK$68+'Quarterly Data 2001-2025'!$BL$68+'Quarterly Data 2001-2025'!$BM$68+'Quarterly Data 2001-2025'!$BN$68)/5)</f>
        <v>897.41688740251811</v>
      </c>
      <c r="R74" s="24">
        <f>R43*1000/(('Quarterly Data 2001-2025'!$BN$68+'Quarterly Data 2001-2025'!$BO$68+'Quarterly Data 2001-2025'!$BP$68+'Quarterly Data 2001-2025'!$BQ$68+'Quarterly Data 2001-2025'!$BR$68)/5)</f>
        <v>690.19090217579844</v>
      </c>
      <c r="S74" s="24">
        <f>(S43+35)*1000/(('Quarterly Data 2001-2025'!$BR$68+'Quarterly Data 2001-2025'!$BS$68+'Quarterly Data 2001-2025'!$BT$68+'Quarterly Data 2001-2025'!$BU$68+'Quarterly Data 2001-2025'!$BV$68)/5)</f>
        <v>582.7542010258461</v>
      </c>
      <c r="T74" s="24">
        <f>T43*1000/(('Quarterly Data 2001-2025'!$BV$68+'Quarterly Data 2001-2025'!$BW$68+'Quarterly Data 2001-2025'!$BX$68+'Quarterly Data 2001-2025'!$BY$68+'Quarterly Data 2001-2025'!$BZ$68)/5)</f>
        <v>574.50819403968774</v>
      </c>
      <c r="U74" s="24">
        <f>U43*1000/(('Quarterly Data 2001-2025'!$BZ$68+'Quarterly Data 2001-2025'!$CA$68+'Quarterly Data 2001-2025'!$CB$68+'Quarterly Data 2001-2025'!$CC$68+'Quarterly Data 2001-2025'!$CD$68)/5)</f>
        <v>1400.1941284445495</v>
      </c>
      <c r="V74" s="24">
        <f>(V43*1000)/(AVERAGE('Quarterly Data 2001-2025'!CD68:CH68))</f>
        <v>1629.0823647378984</v>
      </c>
      <c r="W74" s="24">
        <f>(W43*1000)/(AVERAGE('Quarterly Data 2001-2025'!CH68:CL68))</f>
        <v>1120.1096169084178</v>
      </c>
      <c r="X74" s="24">
        <f>(X43*1000)/(AVERAGE('Quarterly Data 2001-2025'!CL68:CP68))</f>
        <v>1244.33529002615</v>
      </c>
      <c r="Y74" s="24">
        <f>(Y43*1000)/(AVERAGE('Quarterly Data 2001-2025'!CQ68:CT68))</f>
        <v>1305.0739372371654</v>
      </c>
      <c r="Z74" s="382">
        <f>+((Y74/T74)^(1/5))-1</f>
        <v>0.17833228733743356</v>
      </c>
      <c r="AA74" s="306"/>
    </row>
    <row r="75" spans="1:27" x14ac:dyDescent="0.2">
      <c r="A75" s="6"/>
      <c r="B75" s="41"/>
      <c r="C75" s="14"/>
      <c r="D75" s="14"/>
      <c r="E75" s="14"/>
      <c r="F75" s="14"/>
      <c r="G75" s="14"/>
      <c r="H75" s="14"/>
      <c r="I75" s="14"/>
      <c r="J75" s="14"/>
      <c r="K75" s="14"/>
      <c r="L75" s="14"/>
      <c r="M75" s="14"/>
      <c r="N75" s="14"/>
      <c r="O75" s="14"/>
      <c r="P75" s="56"/>
      <c r="Q75" s="62"/>
      <c r="R75" s="62"/>
      <c r="S75" s="62"/>
      <c r="T75" s="62"/>
      <c r="U75" s="62"/>
      <c r="V75" s="62"/>
      <c r="W75" s="62"/>
      <c r="X75" s="62"/>
      <c r="Y75" s="62"/>
      <c r="Z75" s="394"/>
    </row>
    <row r="76" spans="1:27" x14ac:dyDescent="0.2">
      <c r="A76" s="135" t="s">
        <v>199</v>
      </c>
      <c r="B76" s="41"/>
      <c r="C76" s="14"/>
      <c r="D76" s="14"/>
      <c r="E76" s="14"/>
      <c r="F76" s="14"/>
      <c r="G76" s="14"/>
      <c r="H76" s="14"/>
      <c r="I76" s="14"/>
      <c r="J76" s="14"/>
      <c r="K76" s="14"/>
      <c r="L76" s="14"/>
      <c r="M76" s="14"/>
      <c r="N76" s="14"/>
      <c r="O76" s="14"/>
      <c r="P76" s="14"/>
      <c r="Q76" s="15"/>
      <c r="R76" s="15"/>
      <c r="S76" s="15"/>
      <c r="T76" s="15"/>
      <c r="U76" s="15"/>
      <c r="V76" s="15"/>
      <c r="W76" s="15"/>
      <c r="X76" s="15"/>
      <c r="Y76" s="15"/>
      <c r="Z76" s="17"/>
    </row>
    <row r="77" spans="1:27" s="198" customFormat="1" x14ac:dyDescent="0.2">
      <c r="A77" s="323" t="s">
        <v>161</v>
      </c>
      <c r="B77" s="26" t="s">
        <v>49</v>
      </c>
      <c r="C77" s="24" t="s">
        <v>49</v>
      </c>
      <c r="D77" s="24" t="s">
        <v>49</v>
      </c>
      <c r="E77" s="24" t="s">
        <v>49</v>
      </c>
      <c r="F77" s="24" t="s">
        <v>49</v>
      </c>
      <c r="G77" s="24" t="s">
        <v>49</v>
      </c>
      <c r="H77" s="24" t="s">
        <v>49</v>
      </c>
      <c r="I77" s="24" t="s">
        <v>49</v>
      </c>
      <c r="J77" s="24" t="s">
        <v>49</v>
      </c>
      <c r="K77" s="24" t="s">
        <v>49</v>
      </c>
      <c r="L77" s="24" t="s">
        <v>49</v>
      </c>
      <c r="M77" s="24" t="s">
        <v>49</v>
      </c>
      <c r="N77" s="24" t="s">
        <v>49</v>
      </c>
      <c r="O77" s="24" t="s">
        <v>49</v>
      </c>
      <c r="P77" s="24">
        <f>SUM('Quarterly Data 2001-2025'!BG77:BJ77)</f>
        <v>20238.7</v>
      </c>
      <c r="Q77" s="24">
        <f>SUM('Quarterly Data 2001-2025'!BK77:BN77)</f>
        <v>20043.18306626</v>
      </c>
      <c r="R77" s="24">
        <f>SUM('Quarterly Data 2001-2025'!BO77:BR77)</f>
        <v>27072.092280159981</v>
      </c>
      <c r="S77" s="24">
        <f>SUM('Quarterly Data 2001-2025'!BS77:BV77)</f>
        <v>26254.993648102263</v>
      </c>
      <c r="T77" s="24">
        <f>SUM('Quarterly Data 2001-2025'!BW77:BZ77)</f>
        <v>31081.808169539996</v>
      </c>
      <c r="U77" s="24">
        <f>SUM('Quarterly Data 2001-2025'!CA77:CD77)</f>
        <v>63654.523547300065</v>
      </c>
      <c r="V77" s="24">
        <f>SUM('Quarterly Data 2001-2025'!CE77:CH77)</f>
        <v>81535.596125909971</v>
      </c>
      <c r="W77" s="24">
        <f>SUM('Quarterly Data 2001-2025'!CI77:CL77)</f>
        <v>35270.303087266686</v>
      </c>
      <c r="X77" s="24">
        <f>SUM('Quarterly Data 2001-2025'!CM77:CP77)</f>
        <v>65890.74136624347</v>
      </c>
      <c r="Y77" s="24">
        <f>SUM('Quarterly Data 2001-2025'!CQ77:CT77)</f>
        <v>77484.737681255501</v>
      </c>
      <c r="Z77" s="396" t="s">
        <v>34</v>
      </c>
    </row>
    <row r="78" spans="1:27" x14ac:dyDescent="0.2">
      <c r="A78" s="23" t="s">
        <v>162</v>
      </c>
      <c r="B78" s="26" t="s">
        <v>49</v>
      </c>
      <c r="C78" s="24" t="s">
        <v>49</v>
      </c>
      <c r="D78" s="24" t="s">
        <v>49</v>
      </c>
      <c r="E78" s="24" t="s">
        <v>49</v>
      </c>
      <c r="F78" s="24" t="s">
        <v>49</v>
      </c>
      <c r="G78" s="24" t="s">
        <v>49</v>
      </c>
      <c r="H78" s="24" t="s">
        <v>49</v>
      </c>
      <c r="I78" s="24" t="s">
        <v>49</v>
      </c>
      <c r="J78" s="24" t="s">
        <v>49</v>
      </c>
      <c r="K78" s="24" t="s">
        <v>49</v>
      </c>
      <c r="L78" s="24" t="s">
        <v>49</v>
      </c>
      <c r="M78" s="24" t="s">
        <v>49</v>
      </c>
      <c r="N78" s="24" t="s">
        <v>49</v>
      </c>
      <c r="O78" s="24" t="s">
        <v>49</v>
      </c>
      <c r="P78" s="24">
        <f>SUM('Quarterly Data 2001-2025'!BG78:BJ78)</f>
        <v>4322.3</v>
      </c>
      <c r="Q78" s="25">
        <f>SUM('Quarterly Data 2001-2025'!BK78:BN78)</f>
        <v>6027.5014650799958</v>
      </c>
      <c r="R78" s="25">
        <f>SUM('Quarterly Data 2001-2025'!BO78:BR78)</f>
        <v>-934.55576162998591</v>
      </c>
      <c r="S78" s="20">
        <f>SUM('Quarterly Data 2001-2025'!BS78:BV78)</f>
        <v>725.39120295998725</v>
      </c>
      <c r="T78" s="20">
        <f>SUM('Quarterly Data 2001-2025'!BW78:BZ78)</f>
        <v>1703.3014618500151</v>
      </c>
      <c r="U78" s="20">
        <f>SUM('Quarterly Data 2001-2025'!CA78:CD78)</f>
        <v>12043.086827999967</v>
      </c>
      <c r="V78" s="20">
        <f>SUM('Quarterly Data 2001-2025'!CE78:CH78)</f>
        <v>8171.5228043199786</v>
      </c>
      <c r="W78" s="20">
        <f>SUM('Quarterly Data 2001-2025'!CI78:CL78)</f>
        <v>-11462.90835347862</v>
      </c>
      <c r="X78" s="20">
        <f>SUM('Quarterly Data 2001-2025'!CM78:CP78)</f>
        <v>4770.6063256392199</v>
      </c>
      <c r="Y78" s="20">
        <f>SUM('Quarterly Data 2001-2025'!CQ78:CT78)</f>
        <v>7550.2044276974466</v>
      </c>
      <c r="Z78" s="69" t="s">
        <v>34</v>
      </c>
    </row>
    <row r="79" spans="1:27" x14ac:dyDescent="0.2">
      <c r="A79" s="23" t="s">
        <v>163</v>
      </c>
      <c r="B79" s="26" t="s">
        <v>49</v>
      </c>
      <c r="C79" s="24" t="s">
        <v>49</v>
      </c>
      <c r="D79" s="24" t="s">
        <v>49</v>
      </c>
      <c r="E79" s="24" t="s">
        <v>49</v>
      </c>
      <c r="F79" s="24" t="s">
        <v>49</v>
      </c>
      <c r="G79" s="24" t="s">
        <v>49</v>
      </c>
      <c r="H79" s="24" t="s">
        <v>49</v>
      </c>
      <c r="I79" s="24" t="s">
        <v>49</v>
      </c>
      <c r="J79" s="24" t="s">
        <v>49</v>
      </c>
      <c r="K79" s="24" t="s">
        <v>49</v>
      </c>
      <c r="L79" s="24" t="s">
        <v>49</v>
      </c>
      <c r="M79" s="24" t="s">
        <v>49</v>
      </c>
      <c r="N79" s="24" t="s">
        <v>49</v>
      </c>
      <c r="O79" s="24" t="s">
        <v>49</v>
      </c>
      <c r="P79" s="24">
        <f>SUM('Quarterly Data 2001-2025'!BG79:BJ79)</f>
        <v>627</v>
      </c>
      <c r="Q79" s="25">
        <f>SUM('Quarterly Data 2001-2025'!BK79:BN79)</f>
        <v>451.16671528000074</v>
      </c>
      <c r="R79" s="25">
        <f>SUM('Quarterly Data 2001-2025'!BO79:BR79)</f>
        <v>642.69273927999984</v>
      </c>
      <c r="S79" s="20">
        <f>SUM('Quarterly Data 2001-2025'!BS79:BV79)</f>
        <v>570.02699303000111</v>
      </c>
      <c r="T79" s="20">
        <f>SUM('Quarterly Data 2001-2025'!BW79:BZ79)</f>
        <v>-193.40856792999801</v>
      </c>
      <c r="U79" s="20">
        <f>SUM('Quarterly Data 2001-2025'!CA79:CD79)</f>
        <v>561.48250456999699</v>
      </c>
      <c r="V79" s="20">
        <f>SUM('Quarterly Data 2001-2025'!CE79:CH79)</f>
        <v>105.80715451000137</v>
      </c>
      <c r="W79" s="20">
        <f>SUM('Quarterly Data 2001-2025'!CI79:CL79)</f>
        <v>-248.99812762939428</v>
      </c>
      <c r="X79" s="20">
        <f>SUM('Quarterly Data 2001-2025'!CM79:CP79)</f>
        <v>1664.6624424237782</v>
      </c>
      <c r="Y79" s="20">
        <f>SUM('Quarterly Data 2001-2025'!CQ79:CT79)</f>
        <v>794.42631246929466</v>
      </c>
      <c r="Z79" s="69" t="s">
        <v>34</v>
      </c>
    </row>
    <row r="80" spans="1:27" s="188" customFormat="1" x14ac:dyDescent="0.2">
      <c r="A80" s="27" t="s">
        <v>200</v>
      </c>
      <c r="B80" s="30" t="s">
        <v>34</v>
      </c>
      <c r="C80" s="28">
        <v>1300</v>
      </c>
      <c r="D80" s="28">
        <f>SUM('Quarterly Data 2001-2025'!K80:N80)</f>
        <v>1657.702</v>
      </c>
      <c r="E80" s="28">
        <f>SUM('Quarterly Data 2001-2025'!O80:R80)</f>
        <v>3294.94</v>
      </c>
      <c r="F80" s="28">
        <f>SUM('Quarterly Data 2001-2025'!S80:V80)</f>
        <v>5659.9359999999997</v>
      </c>
      <c r="G80" s="28">
        <f>SUM('Quarterly Data 2001-2025'!W80:Z80)</f>
        <v>6032.1670000000004</v>
      </c>
      <c r="H80" s="28">
        <f>SUM('Quarterly Data 2001-2025'!AA80:AD80)</f>
        <v>5003.1820000000007</v>
      </c>
      <c r="I80" s="28">
        <f>SUM('Quarterly Data 2001-2025'!AE80:AH80)</f>
        <v>6761</v>
      </c>
      <c r="J80" s="28">
        <f>SUM('Quarterly Data 2001-2025'!AI80:AL80)</f>
        <v>9946</v>
      </c>
      <c r="K80" s="28">
        <f>SUM('Quarterly Data 2001-2025'!AM80:AP80)</f>
        <v>9566</v>
      </c>
      <c r="L80" s="28">
        <f>SUM('Quarterly Data 2001-2025'!AQ80:AT80)</f>
        <v>6458</v>
      </c>
      <c r="M80" s="28">
        <f>SUM('Quarterly Data 2001-2025'!AU80:AX80)</f>
        <v>5375</v>
      </c>
      <c r="N80" s="28">
        <f>SUM('Quarterly Data 2001-2025'!AY80:BB80)</f>
        <v>10898</v>
      </c>
      <c r="O80" s="28">
        <f>SUM('Quarterly Data 2001-2025'!BC80:BF80)</f>
        <v>20062</v>
      </c>
      <c r="P80" s="28">
        <f>SUM('Quarterly Data 2001-2025'!BG80:BJ80)</f>
        <v>25188</v>
      </c>
      <c r="Q80" s="28">
        <f>SUM('Quarterly Data 2001-2025'!BK80:BN80)</f>
        <v>26522</v>
      </c>
      <c r="R80" s="28">
        <f>SUM('Quarterly Data 2001-2025'!BO80:BR80)</f>
        <v>26780.229257809995</v>
      </c>
      <c r="S80" s="28">
        <f>SUM('Quarterly Data 2001-2025'!BS80:BV80)</f>
        <v>27550.028942702251</v>
      </c>
      <c r="T80" s="28">
        <f>SUM('Quarterly Data 2001-2025'!BW80:BZ80)</f>
        <v>32592.118018540023</v>
      </c>
      <c r="U80" s="28">
        <f>SUM('Quarterly Data 2001-2025'!CA80:CD80)</f>
        <v>76266.05937345</v>
      </c>
      <c r="V80" s="28">
        <f>SUM('Quarterly Data 2001-2025'!CE80:CH80)</f>
        <v>89812.926084739956</v>
      </c>
      <c r="W80" s="28">
        <f>SUM('Quarterly Data 2001-2025'!CI80:CL80)</f>
        <v>23558.396606158673</v>
      </c>
      <c r="X80" s="28">
        <f>SUM('Quarterly Data 2001-2025'!CM80:CP80)</f>
        <v>72326.010133945194</v>
      </c>
      <c r="Y80" s="28">
        <f>SUM('Quarterly Data 2001-2025'!CQ80:CT80)</f>
        <v>85829.36842142223</v>
      </c>
      <c r="Z80" s="385">
        <f>+((Y80/T80)^(1/5))-1</f>
        <v>0.21368131668929102</v>
      </c>
      <c r="AA80" s="212"/>
    </row>
    <row r="81" spans="1:27" x14ac:dyDescent="0.2">
      <c r="A81" s="64"/>
      <c r="B81" s="41"/>
      <c r="C81" s="14"/>
      <c r="D81" s="14"/>
      <c r="E81" s="14"/>
      <c r="F81" s="14"/>
      <c r="G81" s="14"/>
      <c r="H81" s="14"/>
      <c r="I81" s="14"/>
      <c r="J81" s="14"/>
      <c r="K81" s="14"/>
      <c r="L81" s="14"/>
      <c r="M81" s="14"/>
      <c r="N81" s="14"/>
      <c r="O81" s="14"/>
      <c r="P81" s="56"/>
      <c r="Q81" s="62"/>
      <c r="R81" s="62"/>
      <c r="S81" s="62"/>
      <c r="T81" s="62"/>
      <c r="U81" s="62"/>
      <c r="V81" s="62"/>
      <c r="W81" s="62"/>
      <c r="X81" s="62"/>
      <c r="Y81" s="62"/>
      <c r="Z81" s="17"/>
    </row>
    <row r="82" spans="1:27" x14ac:dyDescent="0.2">
      <c r="A82" s="135" t="s">
        <v>122</v>
      </c>
      <c r="B82" s="41"/>
      <c r="C82" s="14"/>
      <c r="D82" s="14"/>
      <c r="E82" s="14"/>
      <c r="F82" s="14"/>
      <c r="G82" s="14"/>
      <c r="H82" s="14"/>
      <c r="I82" s="14"/>
      <c r="J82" s="14"/>
      <c r="K82" s="14"/>
      <c r="L82" s="14"/>
      <c r="M82" s="14"/>
      <c r="N82" s="14"/>
      <c r="O82" s="14"/>
      <c r="P82" s="56"/>
      <c r="Q82" s="62"/>
      <c r="R82" s="62"/>
      <c r="S82" s="62"/>
      <c r="T82" s="62"/>
      <c r="U82" s="62"/>
      <c r="V82" s="62"/>
      <c r="W82" s="62"/>
      <c r="X82" s="62"/>
      <c r="Y82" s="62"/>
      <c r="Z82" s="394"/>
    </row>
    <row r="83" spans="1:27" s="198" customFormat="1" x14ac:dyDescent="0.2">
      <c r="A83" s="323" t="s">
        <v>152</v>
      </c>
      <c r="B83" s="26">
        <f>+'Quarterly Data 2001-2025'!F83</f>
        <v>7079.4</v>
      </c>
      <c r="C83" s="24">
        <f>+'Quarterly Data 2001-2025'!J83</f>
        <v>5354.7</v>
      </c>
      <c r="D83" s="24">
        <f>+'Quarterly Data 2001-2025'!N83</f>
        <v>9539.8000000000011</v>
      </c>
      <c r="E83" s="24">
        <f>+'Quarterly Data 2001-2025'!R83</f>
        <v>14440.1</v>
      </c>
      <c r="F83" s="24">
        <f>+'Quarterly Data 2001-2025'!V83</f>
        <v>24466</v>
      </c>
      <c r="G83" s="24">
        <f>+'Quarterly Data 2001-2025'!Z83</f>
        <v>33691</v>
      </c>
      <c r="H83" s="24">
        <f>'Quarterly Data 2001-2025'!AD83</f>
        <v>32154</v>
      </c>
      <c r="I83" s="24">
        <f>'Quarterly Data 2001-2025'!AH83</f>
        <v>21703.261999999999</v>
      </c>
      <c r="J83" s="24">
        <f>'Quarterly Data 2001-2025'!AL83</f>
        <v>42294</v>
      </c>
      <c r="K83" s="24">
        <f>'Quarterly Data 2001-2025'!AP83</f>
        <v>56411</v>
      </c>
      <c r="L83" s="24">
        <f>'Quarterly Data 2001-2025'!AT83</f>
        <v>46934</v>
      </c>
      <c r="M83" s="24">
        <f>'Quarterly Data 2001-2025'!AX83</f>
        <v>54521</v>
      </c>
      <c r="N83" s="24">
        <f>'Quarterly Data 2001-2025'!BB83</f>
        <v>70352</v>
      </c>
      <c r="O83" s="24">
        <f>'Quarterly Data 2001-2025'!BF83</f>
        <v>84387.909451099986</v>
      </c>
      <c r="P83" s="24">
        <f>'Quarterly Data 2001-2025'!BJ83</f>
        <v>119028.81067560156</v>
      </c>
      <c r="Q83" s="24">
        <f>+'Quarterly Data 2001-2025'!BN83</f>
        <v>145272</v>
      </c>
      <c r="R83" s="24">
        <f>+'Quarterly Data 2001-2025'!BR83</f>
        <v>159446.85219854221</v>
      </c>
      <c r="S83" s="24">
        <f>+'Quarterly Data 2001-2025'!BV83</f>
        <v>160964.48217900313</v>
      </c>
      <c r="T83" s="24">
        <f>+'Quarterly Data 2001-2025'!BZ83</f>
        <v>225021.71171163066</v>
      </c>
      <c r="U83" s="24">
        <f>+'Quarterly Data 2001-2025'!CD83</f>
        <v>342070.97393594531</v>
      </c>
      <c r="V83" s="24">
        <f>+'Quarterly Data 2001-2025'!CH83</f>
        <v>495094.86153285491</v>
      </c>
      <c r="W83" s="24">
        <f>+'Quarterly Data 2001-2025'!CL83</f>
        <v>377712.12798494811</v>
      </c>
      <c r="X83" s="24">
        <f>+'Quarterly Data 2001-2025'!CP83</f>
        <v>432431.09860490437</v>
      </c>
      <c r="Y83" s="24">
        <f>+'Quarterly Data 2001-2025'!CT83</f>
        <v>511418.35238124168</v>
      </c>
      <c r="Z83" s="50">
        <f t="shared" ref="Z83:Z91" si="29">+((Y83/T83)^(1/5))-1</f>
        <v>0.17844787320983113</v>
      </c>
    </row>
    <row r="84" spans="1:27" x14ac:dyDescent="0.2">
      <c r="A84" s="23" t="s">
        <v>153</v>
      </c>
      <c r="B84" s="26">
        <f>+'Quarterly Data 2001-2025'!F84</f>
        <v>280</v>
      </c>
      <c r="C84" s="24">
        <f>+'Quarterly Data 2001-2025'!J84</f>
        <v>380</v>
      </c>
      <c r="D84" s="24">
        <f>+'Quarterly Data 2001-2025'!N84</f>
        <v>500</v>
      </c>
      <c r="E84" s="24">
        <f>+'Quarterly Data 2001-2025'!R84</f>
        <v>1096</v>
      </c>
      <c r="F84" s="24">
        <f>+'Quarterly Data 2001-2025'!V84</f>
        <v>3877</v>
      </c>
      <c r="G84" s="24">
        <f>+'Quarterly Data 2001-2025'!Z84</f>
        <v>6553</v>
      </c>
      <c r="H84" s="19">
        <f>'Quarterly Data 2001-2025'!AD84</f>
        <v>8956</v>
      </c>
      <c r="I84" s="19">
        <f>'Quarterly Data 2001-2025'!AH84</f>
        <v>6189.84</v>
      </c>
      <c r="J84" s="19">
        <f>'Quarterly Data 2001-2025'!AL84</f>
        <v>13114</v>
      </c>
      <c r="K84" s="19">
        <f>'Quarterly Data 2001-2025'!AP84</f>
        <v>17738</v>
      </c>
      <c r="L84" s="19">
        <f>'Quarterly Data 2001-2025'!AT84</f>
        <v>15163</v>
      </c>
      <c r="M84" s="19">
        <f>'Quarterly Data 2001-2025'!AX84</f>
        <v>18920</v>
      </c>
      <c r="N84" s="19">
        <f>'Quarterly Data 2001-2025'!BB84</f>
        <v>27898</v>
      </c>
      <c r="O84" s="19">
        <f>'Quarterly Data 2001-2025'!BF84</f>
        <v>40255</v>
      </c>
      <c r="P84" s="19">
        <f>'Quarterly Data 2001-2025'!BJ84</f>
        <v>48876.976203999999</v>
      </c>
      <c r="Q84" s="20">
        <f>+'Quarterly Data 2001-2025'!BN84</f>
        <v>58923</v>
      </c>
      <c r="R84" s="20">
        <f>+'Quarterly Data 2001-2025'!BR84</f>
        <v>80236.739243999997</v>
      </c>
      <c r="S84" s="20">
        <f>+'Quarterly Data 2001-2025'!BV84</f>
        <v>81121.373778999987</v>
      </c>
      <c r="T84" s="20">
        <f>+'Quarterly Data 2001-2025'!BZ84</f>
        <v>119927.02235</v>
      </c>
      <c r="U84" s="20">
        <f>+'Quarterly Data 2001-2025'!CD84</f>
        <v>150886.791619</v>
      </c>
      <c r="V84" s="20">
        <f>+'Quarterly Data 2001-2025'!CH84</f>
        <v>225088.40865699999</v>
      </c>
      <c r="W84" s="20">
        <f>+'Quarterly Data 2001-2025'!CL84</f>
        <v>191688.49490324978</v>
      </c>
      <c r="X84" s="20">
        <f>+'Quarterly Data 2001-2025'!CP84</f>
        <v>243127.98769417984</v>
      </c>
      <c r="Y84" s="20">
        <f>+'Quarterly Data 2001-2025'!CT84</f>
        <v>333529.57529375999</v>
      </c>
      <c r="Z84" s="382">
        <f t="shared" si="29"/>
        <v>0.22699688431183085</v>
      </c>
    </row>
    <row r="85" spans="1:27" x14ac:dyDescent="0.2">
      <c r="A85" s="23" t="s">
        <v>154</v>
      </c>
      <c r="B85" s="26">
        <f>+'Quarterly Data 2001-2025'!F85</f>
        <v>1227</v>
      </c>
      <c r="C85" s="24">
        <f>+'Quarterly Data 2001-2025'!J85</f>
        <v>1031.2</v>
      </c>
      <c r="D85" s="24">
        <f>+'Quarterly Data 2001-2025'!N85</f>
        <v>1465.4</v>
      </c>
      <c r="E85" s="24">
        <f>+'Quarterly Data 2001-2025'!R85</f>
        <v>1765.9</v>
      </c>
      <c r="F85" s="24">
        <f>+'Quarterly Data 2001-2025'!V85</f>
        <v>3526.5</v>
      </c>
      <c r="G85" s="24">
        <f>+'Quarterly Data 2001-2025'!Z85</f>
        <v>5280.7</v>
      </c>
      <c r="H85" s="19">
        <f>'Quarterly Data 2001-2025'!AD85</f>
        <v>7078</v>
      </c>
      <c r="I85" s="19">
        <f>'Quarterly Data 2001-2025'!AH85</f>
        <v>8009</v>
      </c>
      <c r="J85" s="19">
        <f>'Quarterly Data 2001-2025'!AL85</f>
        <v>9015</v>
      </c>
      <c r="K85" s="19">
        <f>'Quarterly Data 2001-2025'!AP85</f>
        <v>11740</v>
      </c>
      <c r="L85" s="19">
        <f>'Quarterly Data 2001-2025'!AT85</f>
        <v>14685</v>
      </c>
      <c r="M85" s="19">
        <f>'Quarterly Data 2001-2025'!AX85</f>
        <v>15228</v>
      </c>
      <c r="N85" s="19">
        <f>'Quarterly Data 2001-2025'!BB85</f>
        <v>17591</v>
      </c>
      <c r="O85" s="19">
        <f>'Quarterly Data 2001-2025'!BF85</f>
        <v>22632.810791880001</v>
      </c>
      <c r="P85" s="19">
        <f>'Quarterly Data 2001-2025'!BJ85</f>
        <v>30283.407479290006</v>
      </c>
      <c r="Q85" s="20">
        <f>+'Quarterly Data 2001-2025'!BN85</f>
        <v>34950</v>
      </c>
      <c r="R85" s="20">
        <f>+'Quarterly Data 2001-2025'!BR85</f>
        <v>43247.413639629958</v>
      </c>
      <c r="S85" s="20">
        <f>+'Quarterly Data 2001-2025'!BV85</f>
        <v>57893.447883410074</v>
      </c>
      <c r="T85" s="20">
        <f>+'Quarterly Data 2001-2025'!BZ85</f>
        <v>62769.989410650131</v>
      </c>
      <c r="U85" s="20">
        <f>+'Quarterly Data 2001-2025'!CD85</f>
        <v>77551.377652070019</v>
      </c>
      <c r="V85" s="20">
        <f>+'Quarterly Data 2001-2025'!CH85</f>
        <v>89416.163264590024</v>
      </c>
      <c r="W85" s="20">
        <f>+'Quarterly Data 2001-2025'!CL85</f>
        <v>94453.733436969895</v>
      </c>
      <c r="X85" s="20">
        <f>+'Quarterly Data 2001-2025'!CP85</f>
        <v>106143.2389440999</v>
      </c>
      <c r="Y85" s="20">
        <f>+'Quarterly Data 2001-2025'!CT85</f>
        <v>110013.58648785</v>
      </c>
      <c r="Z85" s="382">
        <f t="shared" si="29"/>
        <v>0.11876495443744073</v>
      </c>
    </row>
    <row r="86" spans="1:27" x14ac:dyDescent="0.2">
      <c r="A86" s="23" t="s">
        <v>155</v>
      </c>
      <c r="B86" s="26" t="s">
        <v>49</v>
      </c>
      <c r="C86" s="24" t="s">
        <v>49</v>
      </c>
      <c r="D86" s="24" t="s">
        <v>49</v>
      </c>
      <c r="E86" s="24" t="s">
        <v>49</v>
      </c>
      <c r="F86" s="24" t="s">
        <v>49</v>
      </c>
      <c r="G86" s="24" t="s">
        <v>49</v>
      </c>
      <c r="H86" s="24" t="s">
        <v>49</v>
      </c>
      <c r="I86" s="24" t="s">
        <v>49</v>
      </c>
      <c r="J86" s="24" t="s">
        <v>49</v>
      </c>
      <c r="K86" s="19">
        <f>'Quarterly Data 2001-2025'!AP86</f>
        <v>805</v>
      </c>
      <c r="L86" s="19">
        <f>'Quarterly Data 2001-2025'!AT86</f>
        <v>3302</v>
      </c>
      <c r="M86" s="19">
        <f>'Quarterly Data 2001-2025'!AX86</f>
        <v>4115</v>
      </c>
      <c r="N86" s="19">
        <f>'Quarterly Data 2001-2025'!BB86</f>
        <v>4693</v>
      </c>
      <c r="O86" s="19">
        <f>'Quarterly Data 2001-2025'!BF86</f>
        <v>6700</v>
      </c>
      <c r="P86" s="19">
        <f>'Quarterly Data 2001-2025'!BJ86</f>
        <v>7451.7904792900026</v>
      </c>
      <c r="Q86" s="20">
        <f>+'Quarterly Data 2001-2025'!BN86</f>
        <v>8575</v>
      </c>
      <c r="R86" s="20">
        <f>+'Quarterly Data 2001-2025'!BR86</f>
        <v>12096.771246049961</v>
      </c>
      <c r="S86" s="20">
        <f>+'Quarterly Data 2001-2025'!BV86</f>
        <v>19001.165883410074</v>
      </c>
      <c r="T86" s="20">
        <f>+'Quarterly Data 2001-2025'!BZ86</f>
        <v>22549.923947650135</v>
      </c>
      <c r="U86" s="20">
        <f>+'Quarterly Data 2001-2025'!CD86</f>
        <v>27734.519769890019</v>
      </c>
      <c r="V86" s="20">
        <f>+'Quarterly Data 2001-2025'!CH86</f>
        <v>29717.310589130018</v>
      </c>
      <c r="W86" s="20">
        <f>+'Quarterly Data 2001-2025'!CL86</f>
        <v>35978.911894439902</v>
      </c>
      <c r="X86" s="20">
        <f>+'Quarterly Data 2001-2025'!CP86</f>
        <v>42699.429240479898</v>
      </c>
      <c r="Y86" s="20">
        <f>+'Quarterly Data 2001-2025'!CT86</f>
        <v>42651.237361379994</v>
      </c>
      <c r="Z86" s="382">
        <f t="shared" si="29"/>
        <v>0.13594501681291304</v>
      </c>
    </row>
    <row r="87" spans="1:27" x14ac:dyDescent="0.2">
      <c r="A87" s="23" t="s">
        <v>156</v>
      </c>
      <c r="B87" s="26">
        <f>'Quarterly Data 2001-2025'!F87</f>
        <v>666</v>
      </c>
      <c r="C87" s="24">
        <f>'Quarterly Data 2001-2025'!J87</f>
        <v>344</v>
      </c>
      <c r="D87" s="24">
        <f>'Quarterly Data 2001-2025'!N87</f>
        <v>358</v>
      </c>
      <c r="E87" s="24">
        <f>'Quarterly Data 2001-2025'!R87</f>
        <v>408</v>
      </c>
      <c r="F87" s="24">
        <f>'Quarterly Data 2001-2025'!V87</f>
        <v>1239</v>
      </c>
      <c r="G87" s="24">
        <f>'Quarterly Data 2001-2025'!Z87</f>
        <v>735</v>
      </c>
      <c r="H87" s="19">
        <f>'Quarterly Data 2001-2025'!AD87</f>
        <v>708</v>
      </c>
      <c r="I87" s="19">
        <f>'Quarterly Data 2001-2025'!AH87</f>
        <v>645</v>
      </c>
      <c r="J87" s="19">
        <f>'Quarterly Data 2001-2025'!AL87</f>
        <v>747</v>
      </c>
      <c r="K87" s="19">
        <v>776</v>
      </c>
      <c r="L87" s="19">
        <v>823</v>
      </c>
      <c r="M87" s="19">
        <f>+'Quarterly Data 2001-2025'!AX87</f>
        <v>847</v>
      </c>
      <c r="N87" s="19">
        <f>+'Quarterly Data 2001-2025'!BB87</f>
        <v>813</v>
      </c>
      <c r="O87" s="19">
        <f>'Quarterly Data 2001-2025'!BF87</f>
        <v>895</v>
      </c>
      <c r="P87" s="19">
        <f>'Quarterly Data 2001-2025'!BJ87</f>
        <v>1086</v>
      </c>
      <c r="Q87" s="20">
        <f>+'Quarterly Data 2001-2025'!BN87</f>
        <v>1143</v>
      </c>
      <c r="R87" s="20">
        <f>+'Quarterly Data 2001-2025'!BR87</f>
        <v>1199</v>
      </c>
      <c r="S87" s="20">
        <f>+'Quarterly Data 2001-2025'!BV87</f>
        <v>1575.2389713</v>
      </c>
      <c r="T87" s="20">
        <f>+'Quarterly Data 2001-2025'!BZ87</f>
        <v>1420.53458574</v>
      </c>
      <c r="U87" s="20">
        <f>+'Quarterly Data 2001-2025'!CD87</f>
        <v>1630.0249868400001</v>
      </c>
      <c r="V87" s="20">
        <f>+'Quarterly Data 2001-2025'!CH87</f>
        <v>1539.71378979</v>
      </c>
      <c r="W87" s="20">
        <f>+'Quarterly Data 2001-2025'!CL87</f>
        <v>1667.1258594599999</v>
      </c>
      <c r="X87" s="20">
        <f>+'Quarterly Data 2001-2025'!CP87</f>
        <v>715.79326437999998</v>
      </c>
      <c r="Y87" s="20">
        <f>+'Quarterly Data 2001-2025'!CT87</f>
        <v>0</v>
      </c>
      <c r="Z87" s="69" t="s">
        <v>34</v>
      </c>
    </row>
    <row r="88" spans="1:27" s="188" customFormat="1" x14ac:dyDescent="0.2">
      <c r="A88" s="27" t="s">
        <v>194</v>
      </c>
      <c r="B88" s="30">
        <f t="shared" ref="B88:Q88" si="30">SUM(B83:B85)</f>
        <v>8586.4</v>
      </c>
      <c r="C88" s="28">
        <f t="shared" si="30"/>
        <v>6765.9</v>
      </c>
      <c r="D88" s="28">
        <f t="shared" si="30"/>
        <v>11505.2</v>
      </c>
      <c r="E88" s="28">
        <f t="shared" si="30"/>
        <v>17302</v>
      </c>
      <c r="F88" s="28">
        <f t="shared" si="30"/>
        <v>31869.5</v>
      </c>
      <c r="G88" s="28">
        <f t="shared" si="30"/>
        <v>45524.7</v>
      </c>
      <c r="H88" s="28">
        <f t="shared" si="30"/>
        <v>48188</v>
      </c>
      <c r="I88" s="28">
        <f t="shared" si="30"/>
        <v>35902.101999999999</v>
      </c>
      <c r="J88" s="28">
        <f t="shared" si="30"/>
        <v>64423</v>
      </c>
      <c r="K88" s="28">
        <f t="shared" si="30"/>
        <v>85889</v>
      </c>
      <c r="L88" s="28">
        <f t="shared" si="30"/>
        <v>76782</v>
      </c>
      <c r="M88" s="28">
        <f t="shared" si="30"/>
        <v>88669</v>
      </c>
      <c r="N88" s="28">
        <f t="shared" si="30"/>
        <v>115841</v>
      </c>
      <c r="O88" s="28">
        <f t="shared" si="30"/>
        <v>147275.72024297999</v>
      </c>
      <c r="P88" s="28">
        <f t="shared" si="30"/>
        <v>198189.19435889157</v>
      </c>
      <c r="Q88" s="28">
        <f t="shared" si="30"/>
        <v>239145</v>
      </c>
      <c r="R88" s="28">
        <f t="shared" ref="R88:W88" si="31">SUM(R83:R85)</f>
        <v>282931.00508217217</v>
      </c>
      <c r="S88" s="28">
        <f t="shared" si="31"/>
        <v>299979.30384141317</v>
      </c>
      <c r="T88" s="28">
        <f t="shared" si="31"/>
        <v>407718.72347228078</v>
      </c>
      <c r="U88" s="28">
        <f t="shared" si="31"/>
        <v>570509.14320701535</v>
      </c>
      <c r="V88" s="28">
        <f t="shared" si="31"/>
        <v>809599.43345444486</v>
      </c>
      <c r="W88" s="28">
        <f t="shared" si="31"/>
        <v>663854.35632516781</v>
      </c>
      <c r="X88" s="28">
        <f>SUM(X83:X85)</f>
        <v>781702.32524318411</v>
      </c>
      <c r="Y88" s="28">
        <f>SUM(Y83:Y85)</f>
        <v>954961.51416285173</v>
      </c>
      <c r="Z88" s="385">
        <f t="shared" si="29"/>
        <v>0.18556410749022811</v>
      </c>
      <c r="AA88" s="212"/>
    </row>
    <row r="89" spans="1:27" x14ac:dyDescent="0.2">
      <c r="A89" s="23" t="s">
        <v>157</v>
      </c>
      <c r="B89" s="26" t="s">
        <v>49</v>
      </c>
      <c r="C89" s="24">
        <f>'Quarterly Data 2001-2025'!J89</f>
        <v>21</v>
      </c>
      <c r="D89" s="24">
        <f>'Quarterly Data 2001-2025'!N89</f>
        <v>103</v>
      </c>
      <c r="E89" s="24">
        <f>'Quarterly Data 2001-2025'!R89</f>
        <v>330</v>
      </c>
      <c r="F89" s="24">
        <f>'Quarterly Data 2001-2025'!V89</f>
        <v>2470</v>
      </c>
      <c r="G89" s="24">
        <f>'Quarterly Data 2001-2025'!Z89</f>
        <v>4800</v>
      </c>
      <c r="H89" s="24">
        <f>'Quarterly Data 2001-2025'!AD89</f>
        <v>8404.6919999999991</v>
      </c>
      <c r="I89" s="24">
        <f>'Quarterly Data 2001-2025'!AH89</f>
        <v>8414.2470000000012</v>
      </c>
      <c r="J89" s="24">
        <f>'Quarterly Data 2001-2025'!AL89</f>
        <v>20093.672000000002</v>
      </c>
      <c r="K89" s="24">
        <f>'Quarterly Data 2001-2025'!AP89</f>
        <v>30919.100000000002</v>
      </c>
      <c r="L89" s="24">
        <f>'Quarterly Data 2001-2025'!AT89</f>
        <v>29750.070000000003</v>
      </c>
      <c r="M89" s="24">
        <f>'Quarterly Data 2001-2025'!AX89</f>
        <v>34452.1</v>
      </c>
      <c r="N89" s="24">
        <f>'Quarterly Data 2001-2025'!BB89</f>
        <v>44520.521440119905</v>
      </c>
      <c r="O89" s="24">
        <f>'Quarterly Data 2001-2025'!BF89</f>
        <v>54325.300347560158</v>
      </c>
      <c r="P89" s="24">
        <f>'Quarterly Data 2001-2025'!BJ89</f>
        <v>70609.049051020484</v>
      </c>
      <c r="Q89" s="25">
        <f>+'Quarterly Data 2001-2025'!BN89</f>
        <v>80251.15395863133</v>
      </c>
      <c r="R89" s="25">
        <f>+'Quarterly Data 2001-2025'!BR89</f>
        <v>90758.166599041899</v>
      </c>
      <c r="S89" s="25">
        <f>+'Quarterly Data 2001-2025'!BV89</f>
        <v>90954.281879511385</v>
      </c>
      <c r="T89" s="25">
        <f>+'Quarterly Data 2001-2025'!BZ89</f>
        <v>122142.64216760268</v>
      </c>
      <c r="U89" s="25">
        <f>+'Quarterly Data 2001-2025'!CD89</f>
        <v>162637.90197180252</v>
      </c>
      <c r="V89" s="25">
        <f>+'Quarterly Data 2001-2025'!CH89</f>
        <v>227878.18229526238</v>
      </c>
      <c r="W89" s="25">
        <f>+'Quarterly Data 2001-2025'!CL89</f>
        <v>187748.26369768896</v>
      </c>
      <c r="X89" s="25">
        <f>+'Quarterly Data 2001-2025'!CP89</f>
        <v>222062.9286907003</v>
      </c>
      <c r="Y89" s="25">
        <f>+'Quarterly Data 2001-2025'!CT89</f>
        <v>276033.32067239995</v>
      </c>
      <c r="Z89" s="50">
        <f t="shared" si="29"/>
        <v>0.17711485355938206</v>
      </c>
    </row>
    <row r="90" spans="1:27" x14ac:dyDescent="0.2">
      <c r="A90" s="58" t="s">
        <v>158</v>
      </c>
      <c r="B90" s="26" t="s">
        <v>49</v>
      </c>
      <c r="C90" s="24" t="str">
        <f>'Quarterly Data 2001-2025'!J90</f>
        <v>-</v>
      </c>
      <c r="D90" s="24" t="str">
        <f>'Quarterly Data 2001-2025'!N90</f>
        <v>-</v>
      </c>
      <c r="E90" s="24" t="str">
        <f>'Quarterly Data 2001-2025'!R90</f>
        <v>-</v>
      </c>
      <c r="F90" s="24" t="str">
        <f>'Quarterly Data 2001-2025'!V90</f>
        <v>-</v>
      </c>
      <c r="G90" s="24" t="str">
        <f>'Quarterly Data 2001-2025'!Z90</f>
        <v>-</v>
      </c>
      <c r="H90" s="24" t="str">
        <f>'Quarterly Data 2001-2025'!AD90</f>
        <v>-</v>
      </c>
      <c r="I90" s="24" t="str">
        <f>'Quarterly Data 2001-2025'!AH90</f>
        <v>-</v>
      </c>
      <c r="J90" s="24" t="str">
        <f>'Quarterly Data 2001-2025'!AL90</f>
        <v>-</v>
      </c>
      <c r="K90" s="24" t="str">
        <f>'Quarterly Data 2001-2025'!AP90</f>
        <v>-</v>
      </c>
      <c r="L90" s="24" t="str">
        <f>'Quarterly Data 2001-2025'!AT90</f>
        <v>-</v>
      </c>
      <c r="M90" s="24" t="str">
        <f>'Quarterly Data 2001-2025'!AX90</f>
        <v>-</v>
      </c>
      <c r="N90" s="24" t="str">
        <f>'Quarterly Data 2001-2025'!BB90</f>
        <v>-</v>
      </c>
      <c r="O90" s="24">
        <f>'Quarterly Data 2001-2025'!BF90</f>
        <v>39673.456166150361</v>
      </c>
      <c r="P90" s="24">
        <f>'Quarterly Data 2001-2025'!BJ90</f>
        <v>52405.978852079774</v>
      </c>
      <c r="Q90" s="25">
        <f>+'Quarterly Data 2001-2025'!BN90</f>
        <v>57897.20201168974</v>
      </c>
      <c r="R90" s="25">
        <f>+'Quarterly Data 2001-2025'!BR90</f>
        <v>63641.175791559654</v>
      </c>
      <c r="S90" s="25">
        <f>+'Quarterly Data 2001-2025'!BV90</f>
        <v>61777.923713138603</v>
      </c>
      <c r="T90" s="25">
        <f>+'Quarterly Data 2001-2025'!BZ90</f>
        <v>82037.313409409617</v>
      </c>
      <c r="U90" s="25">
        <f>+'Quarterly Data 2001-2025'!CD90</f>
        <v>113446.87683899017</v>
      </c>
      <c r="V90" s="25">
        <f>+'Quarterly Data 2001-2025'!CH90</f>
        <v>160635.59919615026</v>
      </c>
      <c r="W90" s="25">
        <f>+'Quarterly Data 2001-2025'!CL90</f>
        <v>127806.978313709</v>
      </c>
      <c r="X90" s="25">
        <f>+'Quarterly Data 2001-2025'!CP90</f>
        <v>147417.10360203197</v>
      </c>
      <c r="Y90" s="25">
        <f>+'Quarterly Data 2001-2025'!CT90</f>
        <v>180800.96408420999</v>
      </c>
      <c r="Z90" s="61">
        <f t="shared" si="29"/>
        <v>0.17121833499868022</v>
      </c>
    </row>
    <row r="91" spans="1:27" x14ac:dyDescent="0.2">
      <c r="A91" s="23" t="s">
        <v>159</v>
      </c>
      <c r="B91" s="26" t="str">
        <f>'Quarterly Data 2001-2025'!F91</f>
        <v>-</v>
      </c>
      <c r="C91" s="24" t="str">
        <f>'Quarterly Data 2001-2025'!J91</f>
        <v>-</v>
      </c>
      <c r="D91" s="24" t="str">
        <f>'Quarterly Data 2001-2025'!N91</f>
        <v>-</v>
      </c>
      <c r="E91" s="24" t="str">
        <f>'Quarterly Data 2001-2025'!R91</f>
        <v>-</v>
      </c>
      <c r="F91" s="24" t="str">
        <f>'Quarterly Data 2001-2025'!V91</f>
        <v>-</v>
      </c>
      <c r="G91" s="24" t="str">
        <f>'Quarterly Data 2001-2025'!Z91</f>
        <v>-</v>
      </c>
      <c r="H91" s="24">
        <f>'Quarterly Data 2001-2025'!AD91</f>
        <v>138.80000000000001</v>
      </c>
      <c r="I91" s="24">
        <f>'Quarterly Data 2001-2025'!AH91</f>
        <v>280.505</v>
      </c>
      <c r="J91" s="24">
        <f>'Quarterly Data 2001-2025'!AL91</f>
        <v>633</v>
      </c>
      <c r="K91" s="24">
        <f>'Quarterly Data 2001-2025'!AP91</f>
        <v>1114.5999999999999</v>
      </c>
      <c r="L91" s="24">
        <f>'Quarterly Data 2001-2025'!AT91</f>
        <v>1466</v>
      </c>
      <c r="M91" s="24">
        <f>'Quarterly Data 2001-2025'!AX91</f>
        <v>2397.6</v>
      </c>
      <c r="N91" s="24">
        <f>'Quarterly Data 2001-2025'!BB91</f>
        <v>3891.0845771999493</v>
      </c>
      <c r="O91" s="24">
        <f>'Quarterly Data 2001-2025'!BF91</f>
        <v>5930.8440884998363</v>
      </c>
      <c r="P91" s="24">
        <f>'Quarterly Data 2001-2025'!BJ91</f>
        <v>8519.5853409607989</v>
      </c>
      <c r="Q91" s="25">
        <f>+'Quarterly Data 2001-2025'!BN91</f>
        <v>12068.468147511594</v>
      </c>
      <c r="R91" s="25">
        <f>+'Quarterly Data 2001-2025'!BR91</f>
        <v>16113.825238342812</v>
      </c>
      <c r="S91" s="24">
        <f>+'Quarterly Data 2001-2025'!BV91</f>
        <v>18596.100691792868</v>
      </c>
      <c r="T91" s="24">
        <f>+'Quarterly Data 2001-2025'!BZ91</f>
        <v>26725.620428963008</v>
      </c>
      <c r="U91" s="24">
        <f>+'Quarterly Data 2001-2025'!CD91</f>
        <v>34153.41361508242</v>
      </c>
      <c r="V91" s="24">
        <f>+'Quarterly Data 2001-2025'!CH91</f>
        <v>47647.617153872125</v>
      </c>
      <c r="W91" s="24">
        <f>+'Quarterly Data 2001-2025'!CL91</f>
        <v>45802.557351920004</v>
      </c>
      <c r="X91" s="24">
        <f>+'Quarterly Data 2001-2025'!CP91</f>
        <v>58296.910109123302</v>
      </c>
      <c r="Y91" s="24">
        <f>+'Quarterly Data 2001-2025'!CT91</f>
        <v>76012.645947750003</v>
      </c>
      <c r="Z91" s="50">
        <f t="shared" si="29"/>
        <v>0.23251328984206054</v>
      </c>
    </row>
    <row r="92" spans="1:27" x14ac:dyDescent="0.2">
      <c r="A92" s="6"/>
      <c r="B92" s="41"/>
      <c r="C92" s="14"/>
      <c r="D92" s="14"/>
      <c r="E92" s="14"/>
      <c r="F92" s="14"/>
      <c r="G92" s="14"/>
      <c r="H92" s="14"/>
      <c r="I92" s="14"/>
      <c r="J92" s="14"/>
      <c r="K92" s="14"/>
      <c r="L92" s="14"/>
      <c r="M92" s="14"/>
      <c r="N92" s="14"/>
      <c r="O92" s="14"/>
      <c r="P92" s="14"/>
      <c r="Q92" s="119"/>
      <c r="R92" s="119"/>
      <c r="S92" s="119"/>
      <c r="T92" s="119"/>
      <c r="U92" s="119"/>
      <c r="V92" s="119"/>
      <c r="W92" s="119"/>
      <c r="X92" s="119"/>
      <c r="Y92" s="119"/>
      <c r="Z92" s="17"/>
    </row>
    <row r="93" spans="1:27" x14ac:dyDescent="0.2">
      <c r="A93" s="135" t="s">
        <v>160</v>
      </c>
      <c r="B93" s="41"/>
      <c r="C93" s="14"/>
      <c r="D93" s="14"/>
      <c r="E93" s="14"/>
      <c r="F93" s="14"/>
      <c r="G93" s="14"/>
      <c r="H93" s="14"/>
      <c r="I93" s="14"/>
      <c r="J93" s="14"/>
      <c r="K93" s="14"/>
      <c r="L93" s="14"/>
      <c r="M93" s="14"/>
      <c r="N93" s="14"/>
      <c r="O93" s="14"/>
      <c r="P93" s="14"/>
      <c r="Q93" s="15"/>
      <c r="R93" s="15"/>
      <c r="S93" s="15"/>
      <c r="T93" s="15"/>
      <c r="U93" s="15"/>
      <c r="V93" s="15"/>
      <c r="W93" s="15"/>
      <c r="X93" s="15"/>
      <c r="Y93" s="15"/>
      <c r="Z93" s="17"/>
    </row>
    <row r="94" spans="1:27" s="198" customFormat="1" x14ac:dyDescent="0.2">
      <c r="A94" s="323" t="s">
        <v>161</v>
      </c>
      <c r="B94" s="26" t="s">
        <v>49</v>
      </c>
      <c r="C94" s="24" t="s">
        <v>49</v>
      </c>
      <c r="D94" s="24" t="s">
        <v>49</v>
      </c>
      <c r="E94" s="24" t="s">
        <v>49</v>
      </c>
      <c r="F94" s="24" t="s">
        <v>49</v>
      </c>
      <c r="G94" s="24" t="s">
        <v>49</v>
      </c>
      <c r="H94" s="24" t="s">
        <v>49</v>
      </c>
      <c r="I94" s="24" t="s">
        <v>49</v>
      </c>
      <c r="J94" s="24" t="s">
        <v>49</v>
      </c>
      <c r="K94" s="24" t="s">
        <v>49</v>
      </c>
      <c r="L94" s="24" t="s">
        <v>49</v>
      </c>
      <c r="M94" s="24" t="s">
        <v>49</v>
      </c>
      <c r="N94" s="24" t="s">
        <v>49</v>
      </c>
      <c r="O94" s="24">
        <f>'Quarterly Data 2001-2025'!BF94</f>
        <v>82019.061029409946</v>
      </c>
      <c r="P94" s="24">
        <f>'Quarterly Data 2001-2025'!BJ94</f>
        <v>111208.95146228168</v>
      </c>
      <c r="Q94" s="24">
        <f>+'Quarterly Data 2001-2025'!BN94</f>
        <v>130339.15425019324</v>
      </c>
      <c r="R94" s="24">
        <f>+'Quarterly Data 2001-2025'!BR94</f>
        <v>157187.77352014344</v>
      </c>
      <c r="S94" s="24">
        <f>+'Quarterly Data 2001-2025'!BV94</f>
        <v>166362.10075204671</v>
      </c>
      <c r="T94" s="24">
        <f>+'Quarterly Data 2001-2025'!BZ94</f>
        <v>228251.45340364997</v>
      </c>
      <c r="U94" s="24">
        <f>+'Quarterly Data 2001-2025'!CD94</f>
        <v>327705.34571227297</v>
      </c>
      <c r="V94" s="24">
        <f>+'Quarterly Data 2001-2025'!CH94</f>
        <v>461421.26960407163</v>
      </c>
      <c r="W94" s="24">
        <f>+'Quarterly Data 2001-2025'!CL94</f>
        <v>377060.43998014188</v>
      </c>
      <c r="X94" s="24">
        <f>+'Quarterly Data 2001-2025'!CP94</f>
        <v>446557.69324828841</v>
      </c>
      <c r="Y94" s="24">
        <f>+'Quarterly Data 2001-2025'!CT94</f>
        <v>538151.79125340586</v>
      </c>
      <c r="Z94" s="50">
        <f>+((Y94/T94)^(1/5))-1</f>
        <v>0.18712991121488343</v>
      </c>
    </row>
    <row r="95" spans="1:27" x14ac:dyDescent="0.2">
      <c r="A95" s="23" t="s">
        <v>162</v>
      </c>
      <c r="B95" s="26" t="s">
        <v>49</v>
      </c>
      <c r="C95" s="24" t="s">
        <v>49</v>
      </c>
      <c r="D95" s="24" t="s">
        <v>49</v>
      </c>
      <c r="E95" s="24" t="s">
        <v>49</v>
      </c>
      <c r="F95" s="24" t="s">
        <v>49</v>
      </c>
      <c r="G95" s="24" t="s">
        <v>49</v>
      </c>
      <c r="H95" s="24" t="s">
        <v>49</v>
      </c>
      <c r="I95" s="24" t="s">
        <v>49</v>
      </c>
      <c r="J95" s="24" t="s">
        <v>49</v>
      </c>
      <c r="K95" s="24" t="s">
        <v>49</v>
      </c>
      <c r="L95" s="24" t="s">
        <v>49</v>
      </c>
      <c r="M95" s="24" t="s">
        <v>49</v>
      </c>
      <c r="N95" s="24" t="s">
        <v>49</v>
      </c>
      <c r="O95" s="19">
        <f>'Quarterly Data 2001-2025'!BF95</f>
        <v>60790.146991810048</v>
      </c>
      <c r="P95" s="19">
        <f>'Quarterly Data 2001-2025'!BJ95</f>
        <v>80613.59602131987</v>
      </c>
      <c r="Q95" s="20">
        <f>+'Quarterly Data 2001-2025'!BN95</f>
        <v>100916.58799842992</v>
      </c>
      <c r="R95" s="20">
        <f>+'Quarterly Data 2001-2025'!BR95</f>
        <v>115813.57226822867</v>
      </c>
      <c r="S95" s="20">
        <f>+'Quarterly Data 2001-2025'!BV95</f>
        <v>122021.51691237986</v>
      </c>
      <c r="T95" s="20">
        <f>+'Quarterly Data 2001-2025'!BZ95</f>
        <v>164495.6456089296</v>
      </c>
      <c r="U95" s="20">
        <f>+'Quarterly Data 2001-2025'!CD95</f>
        <v>221280.97164359046</v>
      </c>
      <c r="V95" s="20">
        <f>+'Quarterly Data 2001-2025'!CH95</f>
        <v>315179.29805923911</v>
      </c>
      <c r="W95" s="20">
        <f>+'Quarterly Data 2001-2025'!CL95</f>
        <v>257945.665856073</v>
      </c>
      <c r="X95" s="20">
        <f>+'Quarterly Data 2001-2025'!CP95</f>
        <v>285584.640484943</v>
      </c>
      <c r="Y95" s="20">
        <f>+'Quarterly Data 2001-2025'!CT95</f>
        <v>352597.79413246003</v>
      </c>
      <c r="Z95" s="50">
        <f>+((Y95/T95)^(1/5))-1</f>
        <v>0.1647293971459467</v>
      </c>
    </row>
    <row r="96" spans="1:27" x14ac:dyDescent="0.2">
      <c r="A96" s="23" t="s">
        <v>163</v>
      </c>
      <c r="B96" s="26" t="s">
        <v>49</v>
      </c>
      <c r="C96" s="24" t="s">
        <v>49</v>
      </c>
      <c r="D96" s="24" t="s">
        <v>49</v>
      </c>
      <c r="E96" s="24" t="s">
        <v>49</v>
      </c>
      <c r="F96" s="24" t="s">
        <v>49</v>
      </c>
      <c r="G96" s="24" t="s">
        <v>49</v>
      </c>
      <c r="H96" s="24" t="s">
        <v>49</v>
      </c>
      <c r="I96" s="24" t="s">
        <v>49</v>
      </c>
      <c r="J96" s="24" t="s">
        <v>49</v>
      </c>
      <c r="K96" s="24" t="s">
        <v>49</v>
      </c>
      <c r="L96" s="24" t="s">
        <v>49</v>
      </c>
      <c r="M96" s="24" t="s">
        <v>49</v>
      </c>
      <c r="N96" s="24" t="s">
        <v>49</v>
      </c>
      <c r="O96" s="19">
        <f>'Quarterly Data 2001-2025'!BF96</f>
        <v>4466.5122217599965</v>
      </c>
      <c r="P96" s="19">
        <f>'Quarterly Data 2001-2025'!BJ96</f>
        <v>6366.6468752899973</v>
      </c>
      <c r="Q96" s="20">
        <f>+'Quarterly Data 2001-2025'!BN96</f>
        <v>7889.0247029300044</v>
      </c>
      <c r="R96" s="20">
        <f>+'Quarterly Data 2001-2025'!BR96</f>
        <v>9929.6592938000449</v>
      </c>
      <c r="S96" s="20">
        <f>+'Quarterly Data 2001-2025'!BV96</f>
        <v>11595.686177000007</v>
      </c>
      <c r="T96" s="20">
        <f>+'Quarterly Data 2001-2025'!BZ96</f>
        <v>14971.624459720008</v>
      </c>
      <c r="U96" s="20">
        <f>+'Quarterly Data 2001-2025'!CD96</f>
        <v>21522.825851180045</v>
      </c>
      <c r="V96" s="20">
        <f>+'Quarterly Data 2001-2025'!CH96</f>
        <v>32998.865791160002</v>
      </c>
      <c r="W96" s="20">
        <f>+'Quarterly Data 2001-2025'!CL96</f>
        <v>28848.250488954291</v>
      </c>
      <c r="X96" s="20">
        <f>+'Quarterly Data 2001-2025'!CP96</f>
        <v>49559.991509953383</v>
      </c>
      <c r="Y96" s="20">
        <f>+'Quarterly Data 2001-2025'!CT96</f>
        <v>64211.928776985798</v>
      </c>
      <c r="Z96" s="50">
        <f>+((Y96/T96)^(1/5))-1</f>
        <v>0.33804080547797999</v>
      </c>
    </row>
    <row r="97" spans="1:29" x14ac:dyDescent="0.2">
      <c r="A97" s="27" t="s">
        <v>194</v>
      </c>
      <c r="B97" s="29" t="s">
        <v>49</v>
      </c>
      <c r="C97" s="28" t="s">
        <v>49</v>
      </c>
      <c r="D97" s="28" t="s">
        <v>49</v>
      </c>
      <c r="E97" s="28" t="s">
        <v>49</v>
      </c>
      <c r="F97" s="28" t="s">
        <v>49</v>
      </c>
      <c r="G97" s="28" t="s">
        <v>49</v>
      </c>
      <c r="H97" s="28" t="s">
        <v>49</v>
      </c>
      <c r="I97" s="28" t="s">
        <v>49</v>
      </c>
      <c r="J97" s="28" t="s">
        <v>49</v>
      </c>
      <c r="K97" s="28" t="s">
        <v>49</v>
      </c>
      <c r="L97" s="28" t="s">
        <v>49</v>
      </c>
      <c r="M97" s="28" t="s">
        <v>49</v>
      </c>
      <c r="N97" s="28" t="s">
        <v>49</v>
      </c>
      <c r="O97" s="28">
        <f t="shared" ref="O97:T97" si="32">SUM(O94:O96)</f>
        <v>147275.72024297999</v>
      </c>
      <c r="P97" s="28">
        <f t="shared" si="32"/>
        <v>198189.19435889155</v>
      </c>
      <c r="Q97" s="28">
        <f t="shared" si="32"/>
        <v>239144.76695155317</v>
      </c>
      <c r="R97" s="28">
        <f t="shared" si="32"/>
        <v>282931.00508217217</v>
      </c>
      <c r="S97" s="28">
        <f t="shared" si="32"/>
        <v>299979.30384142656</v>
      </c>
      <c r="T97" s="28">
        <f t="shared" si="32"/>
        <v>407718.72347229952</v>
      </c>
      <c r="U97" s="28">
        <f>SUM(U94:U96)</f>
        <v>570509.14320704341</v>
      </c>
      <c r="V97" s="28">
        <f>SUM(V94:V96)</f>
        <v>809599.43345447083</v>
      </c>
      <c r="W97" s="28">
        <f>SUM(W94:W96)</f>
        <v>663854.35632516909</v>
      </c>
      <c r="X97" s="28">
        <f>SUM(X94:X96)</f>
        <v>781702.32524318481</v>
      </c>
      <c r="Y97" s="28">
        <f>SUM(Y94:Y96)</f>
        <v>954961.51416285173</v>
      </c>
      <c r="Z97" s="385">
        <f>+((Y97/T97)^(1/5))-1</f>
        <v>0.18556410749021723</v>
      </c>
    </row>
    <row r="98" spans="1:29" x14ac:dyDescent="0.2">
      <c r="A98" s="6"/>
      <c r="B98" s="41"/>
      <c r="C98" s="14"/>
      <c r="D98" s="14"/>
      <c r="E98" s="14"/>
      <c r="F98" s="14"/>
      <c r="G98" s="14"/>
      <c r="H98" s="14"/>
      <c r="I98" s="14"/>
      <c r="J98" s="14"/>
      <c r="K98" s="14"/>
      <c r="L98" s="14"/>
      <c r="M98" s="14"/>
      <c r="N98" s="14"/>
      <c r="O98" s="14"/>
      <c r="P98" s="14"/>
      <c r="Q98" s="15"/>
      <c r="R98" s="15"/>
      <c r="S98" s="15"/>
      <c r="T98" s="15"/>
      <c r="U98" s="15"/>
      <c r="V98" s="15"/>
      <c r="W98" s="15"/>
      <c r="X98" s="15"/>
      <c r="Y98" s="15"/>
      <c r="Z98" s="17"/>
    </row>
    <row r="99" spans="1:29" x14ac:dyDescent="0.2">
      <c r="A99" s="135" t="s">
        <v>164</v>
      </c>
      <c r="B99" s="41"/>
      <c r="C99" s="14"/>
      <c r="D99" s="14"/>
      <c r="E99" s="14"/>
      <c r="F99" s="14"/>
      <c r="G99" s="14"/>
      <c r="H99" s="14"/>
      <c r="I99" s="14"/>
      <c r="J99" s="14"/>
      <c r="K99" s="14"/>
      <c r="L99" s="14"/>
      <c r="M99" s="14"/>
      <c r="N99" s="14"/>
      <c r="O99" s="14"/>
      <c r="P99" s="14"/>
      <c r="Q99" s="15"/>
      <c r="R99" s="15"/>
      <c r="S99" s="15"/>
      <c r="T99" s="15"/>
      <c r="U99" s="15"/>
      <c r="V99" s="15"/>
      <c r="W99" s="15"/>
      <c r="X99" s="15"/>
      <c r="Y99" s="15"/>
      <c r="Z99" s="17"/>
    </row>
    <row r="100" spans="1:29" s="198" customFormat="1" x14ac:dyDescent="0.2">
      <c r="A100" s="323" t="s">
        <v>165</v>
      </c>
      <c r="B100" s="26">
        <f>+'Quarterly Data 2001-2025'!F100</f>
        <v>214.4</v>
      </c>
      <c r="C100" s="24">
        <f>+'Quarterly Data 2001-2025'!J100</f>
        <v>247.9</v>
      </c>
      <c r="D100" s="24">
        <f>+'Quarterly Data 2001-2025'!N100</f>
        <v>491.2</v>
      </c>
      <c r="E100" s="24">
        <f>+'Quarterly Data 2001-2025'!R100</f>
        <v>1100</v>
      </c>
      <c r="F100" s="24">
        <f>+'Quarterly Data 2001-2025'!V100</f>
        <v>2052.4</v>
      </c>
      <c r="G100" s="24">
        <f>+'Quarterly Data 2001-2025'!Z100</f>
        <v>2290.3000000000002</v>
      </c>
      <c r="H100" s="24">
        <f>'Quarterly Data 2001-2025'!AD100</f>
        <v>2301</v>
      </c>
      <c r="I100" s="24">
        <f>'Quarterly Data 2001-2025'!AH100</f>
        <v>1253</v>
      </c>
      <c r="J100" s="24">
        <f>'Quarterly Data 2001-2025'!AL100</f>
        <v>3125</v>
      </c>
      <c r="K100" s="24">
        <f>'Quarterly Data 2001-2025'!AP100</f>
        <v>3861</v>
      </c>
      <c r="L100" s="24">
        <f>'Quarterly Data 2001-2025'!AT100</f>
        <v>2557</v>
      </c>
      <c r="M100" s="24">
        <f>'Quarterly Data 2001-2025'!AX100</f>
        <v>2861</v>
      </c>
      <c r="N100" s="24">
        <f>'Quarterly Data 2001-2025'!BB100</f>
        <v>3286</v>
      </c>
      <c r="O100" s="24">
        <f>'Quarterly Data 2001-2025'!BF100</f>
        <v>5348.72024297998</v>
      </c>
      <c r="P100" s="24">
        <f>'Quarterly Data 2001-2025'!BJ100</f>
        <v>6540.2121438000004</v>
      </c>
      <c r="Q100" s="24">
        <f>+'Quarterly Data 2001-2025'!BN100</f>
        <v>8183</v>
      </c>
      <c r="R100" s="24">
        <f>+'Quarterly Data 2001-2025'!BR100</f>
        <v>9514.5441704100012</v>
      </c>
      <c r="S100" s="24">
        <f>+'Quarterly Data 2001-2025'!BV100</f>
        <v>10350.32</v>
      </c>
      <c r="T100" s="24">
        <f>+'Quarterly Data 2001-2025'!BZ100</f>
        <v>13115.988547999999</v>
      </c>
      <c r="U100" s="24">
        <f>+'Quarterly Data 2001-2025'!CD100</f>
        <v>16298.1547474</v>
      </c>
      <c r="V100" s="24">
        <f>+'Quarterly Data 2001-2025'!CH100</f>
        <v>20309.693470040002</v>
      </c>
      <c r="W100" s="24">
        <f>+'Quarterly Data 2001-2025'!CL100</f>
        <v>19268.670710459999</v>
      </c>
      <c r="X100" s="24">
        <f>+'Quarterly Data 2001-2025'!CP100</f>
        <v>19588.605648550001</v>
      </c>
      <c r="Y100" s="24">
        <f>+'Quarterly Data 2001-2025'!CT100</f>
        <v>23926.9572937216</v>
      </c>
      <c r="Z100" s="50">
        <f>+((Y100/T100)^(1/5))-1</f>
        <v>0.12776156427189456</v>
      </c>
      <c r="AA100" s="333"/>
      <c r="AB100" s="333"/>
      <c r="AC100" s="334"/>
    </row>
    <row r="101" spans="1:29" x14ac:dyDescent="0.2">
      <c r="A101" s="23" t="s">
        <v>167</v>
      </c>
      <c r="B101" s="26">
        <f>+'Quarterly Data 2001-2025'!F101</f>
        <v>214.4</v>
      </c>
      <c r="C101" s="24">
        <f>+'Quarterly Data 2001-2025'!J101</f>
        <v>247.9</v>
      </c>
      <c r="D101" s="24">
        <f>+'Quarterly Data 2001-2025'!N101</f>
        <v>491.2</v>
      </c>
      <c r="E101" s="24">
        <f>+'Quarterly Data 2001-2025'!R101</f>
        <v>1100</v>
      </c>
      <c r="F101" s="24">
        <f>+'Quarterly Data 2001-2025'!V101</f>
        <v>2052.4</v>
      </c>
      <c r="G101" s="24">
        <f>+'Quarterly Data 2001-2025'!Z101</f>
        <v>2290.3000000000002</v>
      </c>
      <c r="H101" s="24">
        <f>'Quarterly Data 2001-2025'!AD101</f>
        <v>2301</v>
      </c>
      <c r="I101" s="24">
        <f>'Quarterly Data 2001-2025'!AH101</f>
        <v>1253</v>
      </c>
      <c r="J101" s="24">
        <f>'Quarterly Data 2001-2025'!AL101</f>
        <v>3125</v>
      </c>
      <c r="K101" s="24">
        <f>'Quarterly Data 2001-2025'!AP101</f>
        <v>3861</v>
      </c>
      <c r="L101" s="24">
        <f>'Quarterly Data 2001-2025'!AT101</f>
        <v>2557</v>
      </c>
      <c r="M101" s="24">
        <f>'Quarterly Data 2001-2025'!AX101</f>
        <v>2861</v>
      </c>
      <c r="N101" s="24">
        <f>'Quarterly Data 2001-2025'!BB101</f>
        <v>3192</v>
      </c>
      <c r="O101" s="24">
        <f>'Quarterly Data 2001-2025'!BF101</f>
        <v>3334.72024297998</v>
      </c>
      <c r="P101" s="24">
        <f>'Quarterly Data 2001-2025'!BJ101</f>
        <v>3821.5083425100011</v>
      </c>
      <c r="Q101" s="25">
        <f>+'Quarterly Data 2001-2025'!BN101</f>
        <v>4127</v>
      </c>
      <c r="R101" s="25">
        <f>+'Quarterly Data 2001-2025'!BR101</f>
        <v>4230.8201392299952</v>
      </c>
      <c r="S101" s="20">
        <f>+'Quarterly Data 2001-2025'!BV101</f>
        <v>4366.6200050699999</v>
      </c>
      <c r="T101" s="20">
        <f>+'Quarterly Data 2001-2025'!BZ101</f>
        <v>5164.35258213</v>
      </c>
      <c r="U101" s="20">
        <f>+'Quarterly Data 2001-2025'!CD101</f>
        <v>6973.92203865999</v>
      </c>
      <c r="V101" s="20">
        <f>+'Quarterly Data 2001-2025'!CH101</f>
        <v>10080.88295791</v>
      </c>
      <c r="W101" s="20">
        <f>+'Quarterly Data 2001-2025'!CL101</f>
        <v>8041.0756203999999</v>
      </c>
      <c r="X101" s="20">
        <f>+'Quarterly Data 2001-2025'!CP101</f>
        <v>8098.6681748000201</v>
      </c>
      <c r="Y101" s="20">
        <f>+'Quarterly Data 2001-2025'!CT101</f>
        <v>10654.554592721601</v>
      </c>
      <c r="Z101" s="382">
        <f>+((Y101/T101)^(1/5))-1</f>
        <v>0.15585640208586393</v>
      </c>
    </row>
    <row r="102" spans="1:29" x14ac:dyDescent="0.2">
      <c r="A102" s="23" t="s">
        <v>227</v>
      </c>
      <c r="B102" s="26" t="str">
        <f>'Quarterly Data 2001-2025'!F102</f>
        <v>-</v>
      </c>
      <c r="C102" s="24" t="str">
        <f>'Quarterly Data 2001-2025'!J102</f>
        <v>-</v>
      </c>
      <c r="D102" s="24" t="str">
        <f>'Quarterly Data 2001-2025'!N102</f>
        <v>-</v>
      </c>
      <c r="E102" s="24" t="str">
        <f>'Quarterly Data 2001-2025'!R102</f>
        <v>-</v>
      </c>
      <c r="F102" s="24" t="str">
        <f>'Quarterly Data 2001-2025'!V102</f>
        <v>-</v>
      </c>
      <c r="G102" s="24" t="str">
        <f>'Quarterly Data 2001-2025'!Z102</f>
        <v>-</v>
      </c>
      <c r="H102" s="24" t="str">
        <f>'Quarterly Data 2001-2025'!AD102</f>
        <v>-</v>
      </c>
      <c r="I102" s="24" t="str">
        <f>'Quarterly Data 2001-2025'!AH102</f>
        <v>-</v>
      </c>
      <c r="J102" s="24" t="str">
        <f>'Quarterly Data 2001-2025'!AL102</f>
        <v>-</v>
      </c>
      <c r="K102" s="24" t="str">
        <f>'Quarterly Data 2001-2025'!AM102</f>
        <v>-</v>
      </c>
      <c r="L102" s="24" t="str">
        <f>'Quarterly Data 2001-2025'!AN102</f>
        <v>-</v>
      </c>
      <c r="M102" s="24" t="str">
        <f>'Quarterly Data 2001-2025'!AO102</f>
        <v>-</v>
      </c>
      <c r="N102" s="24">
        <f>'Quarterly Data 2001-2025'!BB102</f>
        <v>94</v>
      </c>
      <c r="O102" s="24">
        <f>'Quarterly Data 2001-2025'!BF102</f>
        <v>2014</v>
      </c>
      <c r="P102" s="24">
        <f>'Quarterly Data 2001-2025'!BJ102</f>
        <v>2718.7038012899993</v>
      </c>
      <c r="Q102" s="25">
        <f>+'Quarterly Data 2001-2025'!BN102</f>
        <v>4056</v>
      </c>
      <c r="R102" s="25">
        <f>+'Quarterly Data 2001-2025'!BR102</f>
        <v>5283.724031180006</v>
      </c>
      <c r="S102" s="20">
        <f>+'Quarterly Data 2001-2025'!BV102</f>
        <v>5983.6999949299998</v>
      </c>
      <c r="T102" s="20">
        <f>+'Quarterly Data 2001-2025'!BZ102</f>
        <v>7951.6359658700003</v>
      </c>
      <c r="U102" s="20">
        <f>+'Quarterly Data 2001-2025'!CD102</f>
        <v>9324.2327087400099</v>
      </c>
      <c r="V102" s="20">
        <f>+'Quarterly Data 2001-2025'!CH102</f>
        <v>10228.81051213</v>
      </c>
      <c r="W102" s="20">
        <f>+'Quarterly Data 2001-2025'!CL102</f>
        <v>11227.59509006</v>
      </c>
      <c r="X102" s="20">
        <f>+'Quarterly Data 2001-2025'!CP102</f>
        <v>11489.93747375</v>
      </c>
      <c r="Y102" s="20">
        <f>+'Quarterly Data 2001-2025'!CT102</f>
        <v>13272.402701000001</v>
      </c>
      <c r="Z102" s="50">
        <f>+((Y102/T102)^(1/5))-1</f>
        <v>0.10789502498350978</v>
      </c>
    </row>
    <row r="103" spans="1:29" x14ac:dyDescent="0.2">
      <c r="A103" s="23" t="s">
        <v>166</v>
      </c>
      <c r="B103" s="26" t="str">
        <f>'Quarterly Data 2001-2025'!F103</f>
        <v>-</v>
      </c>
      <c r="C103" s="24" t="str">
        <f>'Quarterly Data 2001-2025'!J103</f>
        <v>-</v>
      </c>
      <c r="D103" s="24" t="str">
        <f>'Quarterly Data 2001-2025'!N103</f>
        <v>-</v>
      </c>
      <c r="E103" s="24" t="str">
        <f>'Quarterly Data 2001-2025'!R103</f>
        <v>-</v>
      </c>
      <c r="F103" s="24" t="str">
        <f>'Quarterly Data 2001-2025'!V103</f>
        <v>-</v>
      </c>
      <c r="G103" s="24" t="str">
        <f>'Quarterly Data 2001-2025'!Z103</f>
        <v>-</v>
      </c>
      <c r="H103" s="24" t="str">
        <f>'Quarterly Data 2001-2025'!AD103</f>
        <v>-</v>
      </c>
      <c r="I103" s="24" t="str">
        <f>'Quarterly Data 2001-2025'!AH103</f>
        <v>-</v>
      </c>
      <c r="J103" s="24" t="str">
        <f>'Quarterly Data 2001-2025'!AL103</f>
        <v>-</v>
      </c>
      <c r="K103" s="24" t="str">
        <f>'Quarterly Data 2001-2025'!AM103</f>
        <v>-</v>
      </c>
      <c r="L103" s="24" t="str">
        <f>'Quarterly Data 2001-2025'!AN103</f>
        <v>-</v>
      </c>
      <c r="M103" s="24" t="str">
        <f>'Quarterly Data 2001-2025'!AO103</f>
        <v>-</v>
      </c>
      <c r="N103" s="24" t="str">
        <f>'Quarterly Data 2001-2025'!BB103</f>
        <v>-</v>
      </c>
      <c r="O103" s="24" t="str">
        <f>'Quarterly Data 2001-2025'!BF103</f>
        <v>-</v>
      </c>
      <c r="P103" s="24" t="str">
        <f>'Quarterly Data 2001-2025'!BJ103</f>
        <v>-</v>
      </c>
      <c r="Q103" s="25" t="str">
        <f>+'Quarterly Data 2001-2025'!BN103</f>
        <v>-</v>
      </c>
      <c r="R103" s="25" t="str">
        <f>+'Quarterly Data 2001-2025'!BR103</f>
        <v>-</v>
      </c>
      <c r="S103" s="20">
        <f>+'Quarterly Data 2001-2025'!BV103</f>
        <v>4209.5469830000002</v>
      </c>
      <c r="T103" s="20">
        <f>+'Quarterly Data 2001-2025'!BZ103</f>
        <v>9843.8792489999996</v>
      </c>
      <c r="U103" s="20">
        <f>+'Quarterly Data 2001-2025'!CD103</f>
        <v>13556.053301</v>
      </c>
      <c r="V103" s="20">
        <f>+'Quarterly Data 2001-2025'!CH103</f>
        <v>19825.475690999901</v>
      </c>
      <c r="W103" s="20">
        <f>+'Quarterly Data 2001-2025'!CL103</f>
        <v>24103.693361000001</v>
      </c>
      <c r="X103" s="20">
        <f>+'Quarterly Data 2001-2025'!CP103</f>
        <v>20348.778925999999</v>
      </c>
      <c r="Y103" s="20">
        <f>+'Quarterly Data 2001-2025'!CT103</f>
        <v>21215.129409000001</v>
      </c>
      <c r="Z103" s="50">
        <f>+((Y103/T103)^(1/5))-1</f>
        <v>0.16599283445751456</v>
      </c>
    </row>
    <row r="104" spans="1:29" x14ac:dyDescent="0.2">
      <c r="A104" s="27" t="s">
        <v>195</v>
      </c>
      <c r="B104" s="29">
        <f>+'Quarterly Data 2001-2025'!F104</f>
        <v>214.4</v>
      </c>
      <c r="C104" s="28">
        <f>+'Quarterly Data 2001-2025'!J104</f>
        <v>247.9</v>
      </c>
      <c r="D104" s="28">
        <f>+'Quarterly Data 2001-2025'!N104</f>
        <v>491.2</v>
      </c>
      <c r="E104" s="28">
        <f>+'Quarterly Data 2001-2025'!R104</f>
        <v>1100</v>
      </c>
      <c r="F104" s="28">
        <f>+'Quarterly Data 2001-2025'!V104</f>
        <v>2052.4</v>
      </c>
      <c r="G104" s="28">
        <f>+'Quarterly Data 2001-2025'!Z104</f>
        <v>2290.3000000000002</v>
      </c>
      <c r="H104" s="28">
        <f>'Quarterly Data 2001-2025'!AD104</f>
        <v>2301</v>
      </c>
      <c r="I104" s="28">
        <f>'Quarterly Data 2001-2025'!AH104</f>
        <v>1253</v>
      </c>
      <c r="J104" s="28">
        <f>'Quarterly Data 2001-2025'!AL104</f>
        <v>3125</v>
      </c>
      <c r="K104" s="28">
        <f>'Quarterly Data 2001-2025'!AP104</f>
        <v>3861</v>
      </c>
      <c r="L104" s="28">
        <f>'Quarterly Data 2001-2025'!AT104</f>
        <v>2557</v>
      </c>
      <c r="M104" s="28">
        <f>'Quarterly Data 2001-2025'!AX104</f>
        <v>2861</v>
      </c>
      <c r="N104" s="28">
        <f>'Quarterly Data 2001-2025'!BB104</f>
        <v>3286</v>
      </c>
      <c r="O104" s="28">
        <f>'Quarterly Data 2001-2025'!BF104</f>
        <v>5348.72024297998</v>
      </c>
      <c r="P104" s="28">
        <f>'Quarterly Data 2001-2025'!BJ104</f>
        <v>6540.2121438000004</v>
      </c>
      <c r="Q104" s="28">
        <f>+'Quarterly Data 2001-2025'!BN104</f>
        <v>8183</v>
      </c>
      <c r="R104" s="28">
        <f>+'Quarterly Data 2001-2025'!BR104</f>
        <v>9514.5441704100012</v>
      </c>
      <c r="S104" s="28">
        <f>+'Quarterly Data 2001-2025'!BV104</f>
        <v>14559.866983</v>
      </c>
      <c r="T104" s="28">
        <f>+'Quarterly Data 2001-2025'!BZ104</f>
        <v>22959.867796999999</v>
      </c>
      <c r="U104" s="28">
        <f>+'Quarterly Data 2001-2025'!CD104</f>
        <v>29854.2080484</v>
      </c>
      <c r="V104" s="28">
        <f>+'Quarterly Data 2001-2025'!CH104</f>
        <v>40135.169161039899</v>
      </c>
      <c r="W104" s="28">
        <f>+'Quarterly Data 2001-2025'!CL104</f>
        <v>43372.364071460004</v>
      </c>
      <c r="X104" s="28">
        <f>+'Quarterly Data 2001-2025'!CP104</f>
        <v>39937.38457455</v>
      </c>
      <c r="Y104" s="28">
        <f>+'Quarterly Data 2001-2025'!CT104</f>
        <v>45142.086702721601</v>
      </c>
      <c r="Z104" s="385">
        <f>+((Y104/T104)^(1/5))-1</f>
        <v>0.14478109673975359</v>
      </c>
    </row>
    <row r="105" spans="1:29" x14ac:dyDescent="0.2">
      <c r="A105" s="6"/>
      <c r="B105" s="41"/>
      <c r="C105" s="14"/>
      <c r="D105" s="14"/>
      <c r="E105" s="14"/>
      <c r="F105" s="14"/>
      <c r="G105" s="14"/>
      <c r="H105" s="14"/>
      <c r="I105" s="14"/>
      <c r="J105" s="14"/>
      <c r="K105" s="14"/>
      <c r="L105" s="14"/>
      <c r="M105" s="14"/>
      <c r="N105" s="14"/>
      <c r="O105" s="14"/>
      <c r="P105" s="56"/>
      <c r="Q105" s="62"/>
      <c r="R105" s="62"/>
      <c r="S105" s="62"/>
      <c r="T105" s="62"/>
      <c r="U105" s="62"/>
      <c r="V105" s="62"/>
      <c r="W105" s="62"/>
      <c r="X105" s="62"/>
      <c r="Y105" s="62"/>
      <c r="Z105" s="17"/>
    </row>
    <row r="106" spans="1:29" x14ac:dyDescent="0.2">
      <c r="A106" s="135" t="s">
        <v>128</v>
      </c>
      <c r="B106" s="41"/>
      <c r="C106" s="14"/>
      <c r="D106" s="14"/>
      <c r="E106" s="14"/>
      <c r="F106" s="14"/>
      <c r="G106" s="14"/>
      <c r="H106" s="14"/>
      <c r="I106" s="14"/>
      <c r="J106" s="14"/>
      <c r="K106" s="14"/>
      <c r="L106" s="14"/>
      <c r="M106" s="14"/>
      <c r="N106" s="14"/>
      <c r="O106" s="14"/>
      <c r="P106" s="56"/>
      <c r="Q106" s="62"/>
      <c r="R106" s="62"/>
      <c r="S106" s="62"/>
      <c r="T106" s="62"/>
      <c r="U106" s="62"/>
      <c r="V106" s="62"/>
      <c r="W106" s="62"/>
      <c r="X106" s="62"/>
      <c r="Y106" s="62"/>
      <c r="Z106" s="17"/>
    </row>
    <row r="107" spans="1:29" x14ac:dyDescent="0.2">
      <c r="A107" s="23" t="s">
        <v>222</v>
      </c>
      <c r="B107" s="66">
        <f t="shared" ref="B107:I107" si="33">B100/(B85-B87)</f>
        <v>0.38217468805704102</v>
      </c>
      <c r="C107" s="65">
        <f t="shared" si="33"/>
        <v>0.36073923166472643</v>
      </c>
      <c r="D107" s="65">
        <f t="shared" si="33"/>
        <v>0.44356149539461798</v>
      </c>
      <c r="E107" s="65">
        <f t="shared" si="33"/>
        <v>0.81007437955666828</v>
      </c>
      <c r="F107" s="65">
        <f t="shared" si="33"/>
        <v>0.89722404371584707</v>
      </c>
      <c r="G107" s="65">
        <f t="shared" si="33"/>
        <v>0.50383879270519394</v>
      </c>
      <c r="H107" s="65">
        <f t="shared" si="33"/>
        <v>0.36122448979591837</v>
      </c>
      <c r="I107" s="65">
        <f t="shared" si="33"/>
        <v>0.17015209125475286</v>
      </c>
      <c r="J107" s="65">
        <f>J100/(J85-J87)</f>
        <v>0.37796323173681662</v>
      </c>
      <c r="K107" s="65">
        <f t="shared" ref="K107:T107" si="34">K100/(K85-(K86+K87))</f>
        <v>0.38005709223348755</v>
      </c>
      <c r="L107" s="65">
        <f t="shared" si="34"/>
        <v>0.2421401515151515</v>
      </c>
      <c r="M107" s="65">
        <f t="shared" si="34"/>
        <v>0.27868692772257941</v>
      </c>
      <c r="N107" s="65">
        <f t="shared" si="34"/>
        <v>0.27190732312784444</v>
      </c>
      <c r="O107" s="65">
        <f t="shared" si="34"/>
        <v>0.3556847680161091</v>
      </c>
      <c r="P107" s="65">
        <f t="shared" si="34"/>
        <v>0.30076001723933604</v>
      </c>
      <c r="Q107" s="65">
        <f t="shared" si="34"/>
        <v>0.32431039949270768</v>
      </c>
      <c r="R107" s="65">
        <f t="shared" si="34"/>
        <v>0.31766352059710096</v>
      </c>
      <c r="S107" s="65">
        <f t="shared" si="34"/>
        <v>0.27736174037261524</v>
      </c>
      <c r="T107" s="65">
        <f t="shared" si="34"/>
        <v>0.33804502919098811</v>
      </c>
      <c r="U107" s="65">
        <f>U100/(U85-(U86+U87))</f>
        <v>0.33822838663829558</v>
      </c>
      <c r="V107" s="65">
        <f>V100/(V85-(V86+V87))</f>
        <v>0.34920897831663328</v>
      </c>
      <c r="W107" s="65">
        <f>W100/(W85-(W86+W87))</f>
        <v>0.33919120426851795</v>
      </c>
      <c r="X107" s="65">
        <f>X100/(X85-(X86+X87))</f>
        <v>0.31227841657521627</v>
      </c>
      <c r="Y107" s="65">
        <f>Y100/(Y85-(Y86+Y87))</f>
        <v>0.35519778635985111</v>
      </c>
      <c r="Z107" s="50">
        <f>+((Y107/T107)^(1/5))-1</f>
        <v>9.9482924888818491E-3</v>
      </c>
      <c r="AA107" s="307"/>
    </row>
    <row r="108" spans="1:29" x14ac:dyDescent="0.2">
      <c r="A108" s="18" t="s">
        <v>201</v>
      </c>
      <c r="B108" s="84">
        <f t="shared" ref="B108:T108" si="35">+B85/B88</f>
        <v>0.14290040063356005</v>
      </c>
      <c r="C108" s="83">
        <f t="shared" si="35"/>
        <v>0.15241135695177288</v>
      </c>
      <c r="D108" s="83">
        <f t="shared" si="35"/>
        <v>0.12736849424608004</v>
      </c>
      <c r="E108" s="83">
        <f t="shared" si="35"/>
        <v>0.10206334527800255</v>
      </c>
      <c r="F108" s="83">
        <f t="shared" si="35"/>
        <v>0.11065438742371232</v>
      </c>
      <c r="G108" s="83">
        <f t="shared" si="35"/>
        <v>0.11599637120068886</v>
      </c>
      <c r="H108" s="83">
        <f t="shared" si="35"/>
        <v>0.1468830414211007</v>
      </c>
      <c r="I108" s="83">
        <f t="shared" si="35"/>
        <v>0.22307886039653055</v>
      </c>
      <c r="J108" s="83">
        <f t="shared" si="35"/>
        <v>0.13993449544417366</v>
      </c>
      <c r="K108" s="83">
        <f t="shared" si="35"/>
        <v>0.13668805085633784</v>
      </c>
      <c r="L108" s="83">
        <f t="shared" si="35"/>
        <v>0.1912557630694694</v>
      </c>
      <c r="M108" s="83">
        <f t="shared" si="35"/>
        <v>0.17173984143274426</v>
      </c>
      <c r="N108" s="83">
        <f t="shared" si="35"/>
        <v>0.15185469738693555</v>
      </c>
      <c r="O108" s="83">
        <f t="shared" si="35"/>
        <v>0.15367645634011973</v>
      </c>
      <c r="P108" s="83">
        <f t="shared" si="35"/>
        <v>0.15280049740981941</v>
      </c>
      <c r="Q108" s="83">
        <f t="shared" si="35"/>
        <v>0.14614564385623785</v>
      </c>
      <c r="R108" s="83">
        <f t="shared" si="35"/>
        <v>0.15285498182523169</v>
      </c>
      <c r="S108" s="83">
        <f t="shared" si="35"/>
        <v>0.19299147355184201</v>
      </c>
      <c r="T108" s="83">
        <f t="shared" si="35"/>
        <v>0.15395414975323699</v>
      </c>
      <c r="U108" s="83">
        <f>+U85/U88</f>
        <v>0.13593362801537026</v>
      </c>
      <c r="V108" s="83">
        <f>+V85/V88</f>
        <v>0.11044494298009086</v>
      </c>
      <c r="W108" s="83">
        <f>+W85/W88</f>
        <v>0.14228080683213104</v>
      </c>
      <c r="X108" s="83">
        <f>+X85/X88</f>
        <v>0.13578472970651484</v>
      </c>
      <c r="Y108" s="83">
        <f>+Y85/Y88</f>
        <v>0.11520211532743417</v>
      </c>
      <c r="Z108" s="382">
        <f>+((Y108/T108)^(1/5))-1</f>
        <v>-5.634377140026392E-2</v>
      </c>
    </row>
    <row r="109" spans="1:29" x14ac:dyDescent="0.2">
      <c r="A109" s="23" t="s">
        <v>109</v>
      </c>
      <c r="B109" s="68">
        <f t="shared" ref="B109:Y109" si="36">B41/B100</f>
        <v>0</v>
      </c>
      <c r="C109" s="67">
        <f t="shared" si="36"/>
        <v>-4.0338846308995562E-4</v>
      </c>
      <c r="D109" s="67">
        <f t="shared" si="36"/>
        <v>0</v>
      </c>
      <c r="E109" s="67">
        <f t="shared" si="36"/>
        <v>0</v>
      </c>
      <c r="F109" s="67">
        <f t="shared" si="36"/>
        <v>4.8723445722081464E-5</v>
      </c>
      <c r="G109" s="67">
        <f t="shared" si="36"/>
        <v>0</v>
      </c>
      <c r="H109" s="67">
        <f t="shared" si="36"/>
        <v>-6.3016079965232509E-4</v>
      </c>
      <c r="I109" s="67">
        <f t="shared" si="36"/>
        <v>0</v>
      </c>
      <c r="J109" s="67">
        <f t="shared" si="36"/>
        <v>0</v>
      </c>
      <c r="K109" s="67">
        <f t="shared" si="36"/>
        <v>0</v>
      </c>
      <c r="L109" s="67">
        <f t="shared" si="36"/>
        <v>-2.3464998044583495E-3</v>
      </c>
      <c r="M109" s="67">
        <f t="shared" si="36"/>
        <v>-3.4952813701502968E-4</v>
      </c>
      <c r="N109" s="67">
        <f t="shared" si="36"/>
        <v>-3.0432136335970786E-4</v>
      </c>
      <c r="O109" s="67">
        <f t="shared" si="36"/>
        <v>7.4784244048842693E-5</v>
      </c>
      <c r="P109" s="67">
        <f t="shared" si="36"/>
        <v>-3.2974771346590583E-5</v>
      </c>
      <c r="Q109" s="67">
        <f t="shared" si="36"/>
        <v>-6.1712697054869847E-5</v>
      </c>
      <c r="R109" s="67">
        <f t="shared" si="36"/>
        <v>4.1020146946585851E-5</v>
      </c>
      <c r="S109" s="67">
        <f t="shared" si="36"/>
        <v>-1.1208765526090015E-4</v>
      </c>
      <c r="T109" s="67">
        <f t="shared" si="36"/>
        <v>2.5144944187244718E-5</v>
      </c>
      <c r="U109" s="67">
        <f t="shared" si="36"/>
        <v>-2.3753852445275138E-4</v>
      </c>
      <c r="V109" s="67">
        <f t="shared" si="36"/>
        <v>-1.1921006112532028E-5</v>
      </c>
      <c r="W109" s="67">
        <f t="shared" si="36"/>
        <v>-5.6078800465120573E-5</v>
      </c>
      <c r="X109" s="67">
        <f t="shared" si="36"/>
        <v>1.7455375187733709E-4</v>
      </c>
      <c r="Y109" s="67">
        <f t="shared" si="36"/>
        <v>1.9048883416513517E-5</v>
      </c>
      <c r="Z109" s="382" t="s">
        <v>202</v>
      </c>
      <c r="AA109" s="305"/>
    </row>
    <row r="110" spans="1:29" x14ac:dyDescent="0.2">
      <c r="A110" s="23" t="s">
        <v>45</v>
      </c>
      <c r="B110" s="73">
        <f>SUM('Quarterly Data 2001-2025'!C110:F110)/4</f>
        <v>2.0049999999999998E-2</v>
      </c>
      <c r="C110" s="70">
        <v>1.3476219998228678E-2</v>
      </c>
      <c r="D110" s="70">
        <v>6.8989826163582462E-3</v>
      </c>
      <c r="E110" s="70">
        <v>4.6953238634605265E-3</v>
      </c>
      <c r="F110" s="70">
        <v>4.2147229990174588E-3</v>
      </c>
      <c r="G110" s="70">
        <v>9.8735125806158602E-3</v>
      </c>
      <c r="H110" s="70">
        <v>2.0741760359908403E-2</v>
      </c>
      <c r="I110" s="70">
        <v>2.730690142771923E-2</v>
      </c>
      <c r="J110" s="70">
        <v>2.6081477126409774E-3</v>
      </c>
      <c r="K110" s="70">
        <v>1.6766615007518797E-3</v>
      </c>
      <c r="L110" s="70">
        <v>7.5955443193834573E-3</v>
      </c>
      <c r="M110" s="70">
        <v>5.1282112775604552E-3</v>
      </c>
      <c r="N110" s="70">
        <v>2.4339876389987921E-3</v>
      </c>
      <c r="O110" s="70">
        <v>7.195819326293628E-4</v>
      </c>
      <c r="P110" s="70">
        <v>1.4006886499979598E-5</v>
      </c>
      <c r="Q110" s="70">
        <v>-1.6454207937284323E-5</v>
      </c>
      <c r="R110" s="70">
        <v>-8.3541962995299129E-6</v>
      </c>
      <c r="S110" s="70">
        <v>-1.4168388048144335E-5</v>
      </c>
      <c r="T110" s="70">
        <v>6.436508894954045E-7</v>
      </c>
      <c r="U110" s="70">
        <v>-1.0159267260918559E-5</v>
      </c>
      <c r="V110" s="70">
        <v>6.7229163942641349E-7</v>
      </c>
      <c r="W110" s="70">
        <v>1.1724977957665678E-4</v>
      </c>
      <c r="X110" s="70">
        <v>1.2084568083982044E-2</v>
      </c>
      <c r="Y110" s="377">
        <v>1.6445204256736904E-2</v>
      </c>
      <c r="Z110" s="382" t="s">
        <v>202</v>
      </c>
      <c r="AA110" s="305"/>
    </row>
    <row r="111" spans="1:29" x14ac:dyDescent="0.2">
      <c r="A111" s="23" t="s">
        <v>116</v>
      </c>
      <c r="B111" s="73">
        <f>SUM('Quarterly Data 2001-2025'!C111:F111)/4</f>
        <v>9.8850000000000007E-2</v>
      </c>
      <c r="C111" s="70">
        <v>8.2638979017953709E-2</v>
      </c>
      <c r="D111" s="70">
        <v>6.0557434717900149E-2</v>
      </c>
      <c r="E111" s="70">
        <v>5.7394419306184011E-2</v>
      </c>
      <c r="F111" s="70">
        <v>4.3197563760944045E-2</v>
      </c>
      <c r="G111" s="70">
        <v>5.2762567066571474E-2</v>
      </c>
      <c r="H111" s="70">
        <v>6.2370123555420022E-2</v>
      </c>
      <c r="I111" s="70">
        <v>8.0426843635340473E-2</v>
      </c>
      <c r="J111" s="70">
        <v>3.5059692334399276E-2</v>
      </c>
      <c r="K111" s="70">
        <v>3.7333418193529928E-2</v>
      </c>
      <c r="L111" s="70">
        <v>5.5183213524462434E-2</v>
      </c>
      <c r="M111" s="70">
        <v>4.8694317792543386E-2</v>
      </c>
      <c r="N111" s="70">
        <v>3.9785330161054171E-2</v>
      </c>
      <c r="O111" s="70">
        <v>3.2199405799502645E-2</v>
      </c>
      <c r="P111" s="70">
        <v>2.4394790565283819E-2</v>
      </c>
      <c r="Q111" s="70">
        <v>2.0621515550181421E-2</v>
      </c>
      <c r="R111" s="70">
        <v>1.8914709957942848E-2</v>
      </c>
      <c r="S111" s="70">
        <v>1.7939516746255695E-2</v>
      </c>
      <c r="T111" s="70">
        <v>1.6102937205477959E-2</v>
      </c>
      <c r="U111" s="70">
        <v>1.7621699371181257E-2</v>
      </c>
      <c r="V111" s="70">
        <v>1.8457741891933731E-2</v>
      </c>
      <c r="W111" s="70">
        <v>2.3801325798046689E-2</v>
      </c>
      <c r="X111" s="70">
        <v>4.1186614619465003E-2</v>
      </c>
      <c r="Y111" s="377">
        <v>4.216211111491195E-2</v>
      </c>
      <c r="Z111" s="382">
        <f>+((Y111/T111)^(1/5))-1</f>
        <v>0.21228142225985969</v>
      </c>
      <c r="AA111" s="305"/>
    </row>
    <row r="112" spans="1:29" x14ac:dyDescent="0.2">
      <c r="A112" s="64"/>
      <c r="B112" s="41"/>
      <c r="C112" s="14"/>
      <c r="D112" s="14"/>
      <c r="E112" s="14"/>
      <c r="F112" s="14"/>
      <c r="G112" s="14"/>
      <c r="H112" s="14"/>
      <c r="I112" s="14"/>
      <c r="J112" s="14"/>
      <c r="K112" s="14"/>
      <c r="L112" s="14"/>
      <c r="M112" s="14"/>
      <c r="N112" s="14"/>
      <c r="O112" s="14"/>
      <c r="P112" s="62"/>
      <c r="Q112" s="62"/>
      <c r="R112" s="62"/>
      <c r="S112" s="118"/>
      <c r="T112" s="118"/>
      <c r="U112" s="118"/>
      <c r="V112" s="118"/>
      <c r="W112" s="118"/>
      <c r="X112" s="118"/>
      <c r="Y112" s="119"/>
      <c r="Z112" s="17"/>
    </row>
    <row r="113" spans="1:27" x14ac:dyDescent="0.2">
      <c r="A113" s="135" t="s">
        <v>123</v>
      </c>
      <c r="B113" s="41"/>
      <c r="C113" s="14"/>
      <c r="D113" s="14"/>
      <c r="E113" s="14"/>
      <c r="F113" s="14"/>
      <c r="G113" s="14"/>
      <c r="H113" s="14"/>
      <c r="I113" s="14"/>
      <c r="J113" s="14"/>
      <c r="K113" s="14"/>
      <c r="L113" s="14"/>
      <c r="M113" s="14"/>
      <c r="N113" s="14"/>
      <c r="O113" s="14"/>
      <c r="P113" s="62"/>
      <c r="Q113" s="62"/>
      <c r="R113" s="62"/>
      <c r="S113" s="62"/>
      <c r="T113" s="62"/>
      <c r="U113" s="62"/>
      <c r="V113" s="62"/>
      <c r="W113" s="62"/>
      <c r="X113" s="62"/>
      <c r="Y113" s="62"/>
      <c r="Z113" s="17"/>
    </row>
    <row r="114" spans="1:27" s="198" customFormat="1" ht="15" x14ac:dyDescent="0.2">
      <c r="A114" s="323" t="s">
        <v>235</v>
      </c>
      <c r="B114" s="26">
        <f>SUM('Quarterly Data 2001-2025'!C114:F114)</f>
        <v>670374</v>
      </c>
      <c r="C114" s="24">
        <f>SUM('Quarterly Data 2001-2025'!G114:J114)</f>
        <v>763771</v>
      </c>
      <c r="D114" s="24">
        <f>SUM('Quarterly Data 2001-2025'!K114:N114)</f>
        <v>932761</v>
      </c>
      <c r="E114" s="24">
        <f>SUM('Quarterly Data 2001-2025'!O114:R114)</f>
        <v>1328044</v>
      </c>
      <c r="F114" s="24">
        <f>SUM('Quarterly Data 2001-2025'!S114:V114)</f>
        <v>1826917</v>
      </c>
      <c r="G114" s="24">
        <f>SUM('Quarterly Data 2001-2025'!W114:Z114)</f>
        <v>2874320</v>
      </c>
      <c r="H114" s="24">
        <f>SUM('Quarterly Data 2001-2025'!AA114:AD114)</f>
        <v>3790410</v>
      </c>
      <c r="I114" s="24">
        <f>SUM('Quarterly Data 2001-2025'!AE114:AH114)</f>
        <v>4075261</v>
      </c>
      <c r="J114" s="24">
        <f>SUM('Quarterly Data 2001-2025'!AI114:AL114)</f>
        <v>5905957</v>
      </c>
      <c r="K114" s="24">
        <f>SUM('Quarterly Data 2001-2025'!AM114:AP114)</f>
        <v>7554337</v>
      </c>
      <c r="L114" s="24">
        <f>SUM('Quarterly Data 2001-2025'!AQ114:AT114)</f>
        <v>7649856</v>
      </c>
      <c r="M114" s="24">
        <f>SUM('Quarterly Data 2001-2025'!AU114:AX114)</f>
        <v>6683611</v>
      </c>
      <c r="N114" s="24">
        <f>SUM('Quarterly Data 2001-2025'!AY114:BB114)</f>
        <v>7655629</v>
      </c>
      <c r="O114" s="24">
        <f>SUM('Quarterly Data 2001-2025'!BC114:BF114)</f>
        <v>9686066</v>
      </c>
      <c r="P114" s="24">
        <f>SUM('Quarterly Data 2001-2025'!BG114:BJ114)</f>
        <v>17994055</v>
      </c>
      <c r="Q114" s="24">
        <f>SUM('Quarterly Data 2001-2025'!BK114:BN114)</f>
        <v>24635018</v>
      </c>
      <c r="R114" s="24">
        <f>SUM('Quarterly Data 2001-2025'!BO114:BR114)</f>
        <v>30764581</v>
      </c>
      <c r="S114" s="24">
        <f>SUM('Quarterly Data 2001-2025'!BS114:BV114)</f>
        <v>35875586</v>
      </c>
      <c r="T114" s="24">
        <f>SUM('Quarterly Data 2001-2025'!BW114:BZ114)</f>
        <v>42947331</v>
      </c>
      <c r="U114" s="24">
        <f>SUM('Quarterly Data 2001-2025'!CA114:CD114)</f>
        <v>85546430</v>
      </c>
      <c r="V114" s="24">
        <f>SUM('Quarterly Data 2001-2025'!CE114:CH114)</f>
        <v>121319044</v>
      </c>
      <c r="W114" s="24">
        <f>SUM('Quarterly Data 2001-2025'!CI114:CL114)</f>
        <v>85850847</v>
      </c>
      <c r="X114" s="24">
        <f>SUM('Quarterly Data 2001-2025'!CM114:CP114)</f>
        <v>74446016</v>
      </c>
      <c r="Y114" s="24">
        <f>SUM('Quarterly Data 2001-2025'!CQ114:CT114)</f>
        <v>85971664</v>
      </c>
      <c r="Z114" s="50">
        <f t="shared" ref="Z114:Z124" si="37">+((Y114/T114)^(1/5))-1</f>
        <v>0.14890423593972968</v>
      </c>
    </row>
    <row r="115" spans="1:27" ht="15" x14ac:dyDescent="0.2">
      <c r="A115" s="23" t="s">
        <v>236</v>
      </c>
      <c r="B115" s="53" t="s">
        <v>49</v>
      </c>
      <c r="C115" s="51" t="s">
        <v>49</v>
      </c>
      <c r="D115" s="51" t="s">
        <v>49</v>
      </c>
      <c r="E115" s="51" t="s">
        <v>49</v>
      </c>
      <c r="F115" s="51" t="s">
        <v>49</v>
      </c>
      <c r="G115" s="51" t="s">
        <v>49</v>
      </c>
      <c r="H115" s="51" t="s">
        <v>49</v>
      </c>
      <c r="I115" s="51" t="s">
        <v>49</v>
      </c>
      <c r="J115" s="51" t="s">
        <v>49</v>
      </c>
      <c r="K115" s="51" t="s">
        <v>49</v>
      </c>
      <c r="L115" s="51" t="s">
        <v>49</v>
      </c>
      <c r="M115" s="51" t="s">
        <v>49</v>
      </c>
      <c r="N115" s="51" t="s">
        <v>49</v>
      </c>
      <c r="O115" s="51" t="s">
        <v>49</v>
      </c>
      <c r="P115" s="51" t="s">
        <v>49</v>
      </c>
      <c r="Q115" s="24">
        <f>SUM('Quarterly Data 2001-2025'!BK115:BN115)</f>
        <v>12619121</v>
      </c>
      <c r="R115" s="24">
        <f>SUM('Quarterly Data 2001-2025'!BO115:BR115)</f>
        <v>13918846</v>
      </c>
      <c r="S115" s="24">
        <f>SUM('Quarterly Data 2001-2025'!BS115:BV115)</f>
        <v>15041700</v>
      </c>
      <c r="T115" s="24">
        <f>SUM('Quarterly Data 2001-2025'!BW115:BZ115)</f>
        <v>17504485</v>
      </c>
      <c r="U115" s="24">
        <f>SUM('Quarterly Data 2001-2025'!CA115:CD115)</f>
        <v>40769414</v>
      </c>
      <c r="V115" s="24">
        <f>SUM('Quarterly Data 2001-2025'!CE115:CH115)</f>
        <v>58685820</v>
      </c>
      <c r="W115" s="24">
        <f>SUM('Quarterly Data 2001-2025'!CI115:CL115)</f>
        <v>40439968</v>
      </c>
      <c r="X115" s="24">
        <f>SUM('Quarterly Data 2001-2025'!CM115:CP115)</f>
        <v>33597204</v>
      </c>
      <c r="Y115" s="24">
        <f>SUM('Quarterly Data 2001-2025'!CQ115:CT115)</f>
        <v>37812416</v>
      </c>
      <c r="Z115" s="382">
        <f t="shared" si="37"/>
        <v>0.1665329699777367</v>
      </c>
    </row>
    <row r="116" spans="1:27" x14ac:dyDescent="0.2">
      <c r="A116" s="23" t="s">
        <v>105</v>
      </c>
      <c r="B116" s="53" t="s">
        <v>49</v>
      </c>
      <c r="C116" s="51" t="s">
        <v>49</v>
      </c>
      <c r="D116" s="51" t="s">
        <v>49</v>
      </c>
      <c r="E116" s="51" t="s">
        <v>49</v>
      </c>
      <c r="F116" s="51" t="s">
        <v>49</v>
      </c>
      <c r="G116" s="51" t="s">
        <v>49</v>
      </c>
      <c r="H116" s="51" t="s">
        <v>49</v>
      </c>
      <c r="I116" s="51" t="s">
        <v>49</v>
      </c>
      <c r="J116" s="51" t="s">
        <v>49</v>
      </c>
      <c r="K116" s="51" t="s">
        <v>49</v>
      </c>
      <c r="L116" s="51" t="s">
        <v>49</v>
      </c>
      <c r="M116" s="51" t="s">
        <v>49</v>
      </c>
      <c r="N116" s="19">
        <f>SUM('Quarterly Data 2001-2025'!AY116:BB116)</f>
        <v>473207.50172364112</v>
      </c>
      <c r="O116" s="19">
        <f>SUM('Quarterly Data 2001-2025'!BC116:BF116)</f>
        <v>587939.18262169091</v>
      </c>
      <c r="P116" s="19">
        <f>SUM('Quarterly Data 2001-2025'!BG116:BJ116)</f>
        <v>790934.3019488022</v>
      </c>
      <c r="Q116" s="19">
        <f>SUM('Quarterly Data 2001-2025'!BK116:BN116)</f>
        <v>746221.69489188946</v>
      </c>
      <c r="R116" s="19">
        <f>SUM('Quarterly Data 2001-2025'!BO116:BR116)</f>
        <v>705371.81732328027</v>
      </c>
      <c r="S116" s="19">
        <f>SUM('Quarterly Data 2001-2025'!BS116:BV116)</f>
        <v>738207.32067073928</v>
      </c>
      <c r="T116" s="19">
        <f>SUM('Quarterly Data 2001-2025'!BW116:BZ116)</f>
        <v>761007.01823082974</v>
      </c>
      <c r="U116" s="19">
        <f>SUM('Quarterly Data 2001-2025'!CA116:CD116)</f>
        <v>1507895.8636664206</v>
      </c>
      <c r="V116" s="19">
        <f>SUM('Quarterly Data 2001-2025'!CE116:CH116)</f>
        <v>1872601.4231827073</v>
      </c>
      <c r="W116" s="19">
        <f>SUM('Quarterly Data 2001-2025'!CI116:CL116)</f>
        <v>1399865.5440089405</v>
      </c>
      <c r="X116" s="19">
        <f>SUM('Quarterly Data 2001-2025'!CM116:CP116)</f>
        <v>1071728.8903320965</v>
      </c>
      <c r="Y116" s="19">
        <f>SUM('Quarterly Data 2001-2025'!CQ116:CT116)</f>
        <v>1316510.7226233161</v>
      </c>
      <c r="Z116" s="382">
        <f t="shared" si="37"/>
        <v>0.11585341715825326</v>
      </c>
    </row>
    <row r="117" spans="1:27" ht="15" x14ac:dyDescent="0.2">
      <c r="A117" s="23" t="s">
        <v>237</v>
      </c>
      <c r="B117" s="53" t="s">
        <v>49</v>
      </c>
      <c r="C117" s="51" t="s">
        <v>49</v>
      </c>
      <c r="D117" s="51" t="s">
        <v>49</v>
      </c>
      <c r="E117" s="51" t="s">
        <v>49</v>
      </c>
      <c r="F117" s="51" t="s">
        <v>49</v>
      </c>
      <c r="G117" s="51" t="s">
        <v>49</v>
      </c>
      <c r="H117" s="51" t="s">
        <v>49</v>
      </c>
      <c r="I117" s="51" t="s">
        <v>49</v>
      </c>
      <c r="J117" s="51" t="s">
        <v>49</v>
      </c>
      <c r="K117" s="51" t="s">
        <v>49</v>
      </c>
      <c r="L117" s="51" t="s">
        <v>49</v>
      </c>
      <c r="M117" s="51" t="s">
        <v>49</v>
      </c>
      <c r="N117" s="19">
        <f>SUM('Quarterly Data 2001-2025'!AY117:BB117)</f>
        <v>311340.62721998594</v>
      </c>
      <c r="O117" s="19">
        <f>SUM('Quarterly Data 2001-2025'!BC117:BF117)</f>
        <v>365264.72676594782</v>
      </c>
      <c r="P117" s="19">
        <f>SUM('Quarterly Data 2001-2025'!BG117:BJ117)</f>
        <v>678541.3294211399</v>
      </c>
      <c r="Q117" s="19">
        <f>SUM('Quarterly Data 2001-2025'!BK117:BN117)</f>
        <v>614984.35639795032</v>
      </c>
      <c r="R117" s="19">
        <f>SUM('Quarterly Data 2001-2025'!BO117:BR117)</f>
        <v>548997.56215518003</v>
      </c>
      <c r="S117" s="19">
        <f>SUM('Quarterly Data 2001-2025'!BS117:BV117)</f>
        <v>532379.21423193975</v>
      </c>
      <c r="T117" s="19">
        <f>SUM('Quarterly Data 2001-2025'!BW117:BZ117)</f>
        <v>557796.00469951984</v>
      </c>
      <c r="U117" s="19">
        <f>SUM('Quarterly Data 2001-2025'!CA117:CD117)</f>
        <v>1148781.70199184</v>
      </c>
      <c r="V117" s="19">
        <f>SUM('Quarterly Data 2001-2025'!CE117:CH117)</f>
        <v>1486342.4441079192</v>
      </c>
      <c r="W117" s="19">
        <f>SUM('Quarterly Data 2001-2025'!CI117:CL117)</f>
        <v>1068671.9824517919</v>
      </c>
      <c r="X117" s="19">
        <f>SUM('Quarterly Data 2001-2025'!CM117:CP117)</f>
        <v>797659.19481302937</v>
      </c>
      <c r="Y117" s="19">
        <f>SUM('Quarterly Data 2001-2025'!CQ117:CT117)</f>
        <v>942095.23684883805</v>
      </c>
      <c r="Z117" s="382">
        <f t="shared" si="37"/>
        <v>0.11051360056097215</v>
      </c>
    </row>
    <row r="118" spans="1:27" x14ac:dyDescent="0.2">
      <c r="A118" s="23" t="s">
        <v>148</v>
      </c>
      <c r="B118" s="53" t="s">
        <v>49</v>
      </c>
      <c r="C118" s="51" t="s">
        <v>49</v>
      </c>
      <c r="D118" s="51" t="s">
        <v>49</v>
      </c>
      <c r="E118" s="51" t="s">
        <v>49</v>
      </c>
      <c r="F118" s="51" t="s">
        <v>49</v>
      </c>
      <c r="G118" s="51" t="s">
        <v>49</v>
      </c>
      <c r="H118" s="51" t="s">
        <v>49</v>
      </c>
      <c r="I118" s="51" t="s">
        <v>49</v>
      </c>
      <c r="J118" s="51" t="s">
        <v>49</v>
      </c>
      <c r="K118" s="51" t="s">
        <v>49</v>
      </c>
      <c r="L118" s="51" t="s">
        <v>49</v>
      </c>
      <c r="M118" s="51" t="s">
        <v>49</v>
      </c>
      <c r="N118" s="19" t="s">
        <v>49</v>
      </c>
      <c r="O118" s="19" t="s">
        <v>49</v>
      </c>
      <c r="P118" s="19" t="s">
        <v>49</v>
      </c>
      <c r="Q118" s="19">
        <v>32068.869481000002</v>
      </c>
      <c r="R118" s="19">
        <v>36675.152612999998</v>
      </c>
      <c r="S118" s="19">
        <v>48058.387196999996</v>
      </c>
      <c r="T118" s="19">
        <v>45065.290328000003</v>
      </c>
      <c r="U118" s="19">
        <f>SUM('Quarterly Data 2001-2025'!CA118:CD118)</f>
        <v>143739.07111352001</v>
      </c>
      <c r="V118" s="19">
        <f>SUM('Quarterly Data 2001-2025'!CE118:CH118)</f>
        <v>260183.73457101989</v>
      </c>
      <c r="W118" s="19">
        <f>SUM('Quarterly Data 2001-2025'!CI118:CL118)</f>
        <v>154024.56305258992</v>
      </c>
      <c r="X118" s="19">
        <f>SUM('Quarterly Data 2001-2025'!CM118:CP118)</f>
        <v>125913.40317205605</v>
      </c>
      <c r="Y118" s="19">
        <f>SUM('Quarterly Data 2001-2025'!CQ118:CT118)</f>
        <v>213692.88950063835</v>
      </c>
      <c r="Z118" s="382">
        <f t="shared" si="37"/>
        <v>0.36517893890176034</v>
      </c>
    </row>
    <row r="119" spans="1:27" x14ac:dyDescent="0.2">
      <c r="A119" s="23" t="s">
        <v>177</v>
      </c>
      <c r="B119" s="53" t="s">
        <v>49</v>
      </c>
      <c r="C119" s="51" t="s">
        <v>49</v>
      </c>
      <c r="D119" s="51" t="s">
        <v>49</v>
      </c>
      <c r="E119" s="51" t="s">
        <v>49</v>
      </c>
      <c r="F119" s="51" t="s">
        <v>49</v>
      </c>
      <c r="G119" s="51" t="s">
        <v>49</v>
      </c>
      <c r="H119" s="51" t="s">
        <v>49</v>
      </c>
      <c r="I119" s="51" t="s">
        <v>49</v>
      </c>
      <c r="J119" s="51" t="s">
        <v>49</v>
      </c>
      <c r="K119" s="51" t="s">
        <v>49</v>
      </c>
      <c r="L119" s="51" t="s">
        <v>49</v>
      </c>
      <c r="M119" s="51" t="s">
        <v>49</v>
      </c>
      <c r="N119" s="19" t="s">
        <v>49</v>
      </c>
      <c r="O119" s="19" t="s">
        <v>49</v>
      </c>
      <c r="P119" s="19" t="s">
        <v>49</v>
      </c>
      <c r="Q119" s="24">
        <f t="shared" ref="Q119:W119" si="38">Q115/Q125</f>
        <v>50275.382470119519</v>
      </c>
      <c r="R119" s="24">
        <f t="shared" si="38"/>
        <v>55898.979919678713</v>
      </c>
      <c r="S119" s="24">
        <f t="shared" si="38"/>
        <v>60774.545454545456</v>
      </c>
      <c r="T119" s="24">
        <f t="shared" si="38"/>
        <v>70582.600806451606</v>
      </c>
      <c r="U119" s="24">
        <f t="shared" si="38"/>
        <v>163077.65599999999</v>
      </c>
      <c r="V119" s="24">
        <f t="shared" si="38"/>
        <v>234274.73053892216</v>
      </c>
      <c r="W119" s="24">
        <f t="shared" si="38"/>
        <v>161115.41035856574</v>
      </c>
      <c r="X119" s="24">
        <f>X115/X125</f>
        <v>134928.53012048194</v>
      </c>
      <c r="Y119" s="24">
        <f>Y115/Y125</f>
        <v>152162.63983903421</v>
      </c>
      <c r="Z119" s="382">
        <f t="shared" si="37"/>
        <v>0.16606316194371584</v>
      </c>
      <c r="AA119" s="306"/>
    </row>
    <row r="120" spans="1:27" x14ac:dyDescent="0.2">
      <c r="A120" s="58" t="s">
        <v>176</v>
      </c>
      <c r="B120" s="53" t="s">
        <v>49</v>
      </c>
      <c r="C120" s="51" t="s">
        <v>49</v>
      </c>
      <c r="D120" s="51" t="s">
        <v>49</v>
      </c>
      <c r="E120" s="51" t="s">
        <v>49</v>
      </c>
      <c r="F120" s="51" t="s">
        <v>49</v>
      </c>
      <c r="G120" s="51" t="s">
        <v>49</v>
      </c>
      <c r="H120" s="51" t="s">
        <v>49</v>
      </c>
      <c r="I120" s="51" t="s">
        <v>49</v>
      </c>
      <c r="J120" s="51" t="s">
        <v>49</v>
      </c>
      <c r="K120" s="51" t="s">
        <v>49</v>
      </c>
      <c r="L120" s="51" t="s">
        <v>49</v>
      </c>
      <c r="M120" s="51" t="s">
        <v>49</v>
      </c>
      <c r="N120" s="24">
        <f t="shared" ref="N120:T120" si="39">N117/N125</f>
        <v>1255.405754919298</v>
      </c>
      <c r="O120" s="24">
        <f t="shared" si="39"/>
        <v>1478.8045618054568</v>
      </c>
      <c r="P120" s="24">
        <f t="shared" si="39"/>
        <v>2730.5486093406034</v>
      </c>
      <c r="Q120" s="59">
        <f t="shared" si="39"/>
        <v>2450.1368780794833</v>
      </c>
      <c r="R120" s="59">
        <f t="shared" si="39"/>
        <v>2204.8094865669882</v>
      </c>
      <c r="S120" s="59">
        <f t="shared" si="39"/>
        <v>2151.0271282098574</v>
      </c>
      <c r="T120" s="59">
        <f t="shared" si="39"/>
        <v>2249.1774383045154</v>
      </c>
      <c r="U120" s="59">
        <f>U117/U125</f>
        <v>4595.12680796736</v>
      </c>
      <c r="V120" s="59">
        <f>V117/V125</f>
        <v>5933.502770889897</v>
      </c>
      <c r="W120" s="59">
        <f>W117/W125</f>
        <v>4257.6573006047483</v>
      </c>
      <c r="X120" s="59">
        <f>X117/X125</f>
        <v>3203.4505815784314</v>
      </c>
      <c r="Y120" s="59">
        <f>Y117/Y125</f>
        <v>3791.1277136774165</v>
      </c>
      <c r="Z120" s="382">
        <f t="shared" si="37"/>
        <v>0.11006635369795115</v>
      </c>
      <c r="AA120" s="306"/>
    </row>
    <row r="121" spans="1:27" x14ac:dyDescent="0.2">
      <c r="A121" s="58" t="s">
        <v>148</v>
      </c>
      <c r="B121" s="53" t="s">
        <v>49</v>
      </c>
      <c r="C121" s="51" t="s">
        <v>49</v>
      </c>
      <c r="D121" s="51" t="s">
        <v>49</v>
      </c>
      <c r="E121" s="51" t="s">
        <v>49</v>
      </c>
      <c r="F121" s="51" t="s">
        <v>49</v>
      </c>
      <c r="G121" s="19" t="s">
        <v>49</v>
      </c>
      <c r="H121" s="19" t="s">
        <v>49</v>
      </c>
      <c r="I121" s="19" t="s">
        <v>49</v>
      </c>
      <c r="J121" s="19" t="s">
        <v>49</v>
      </c>
      <c r="K121" s="19" t="s">
        <v>49</v>
      </c>
      <c r="L121" s="19" t="s">
        <v>49</v>
      </c>
      <c r="M121" s="19" t="s">
        <v>49</v>
      </c>
      <c r="N121" s="19" t="s">
        <v>49</v>
      </c>
      <c r="O121" s="19" t="s">
        <v>49</v>
      </c>
      <c r="P121" s="19" t="s">
        <v>49</v>
      </c>
      <c r="Q121" s="59">
        <f t="shared" ref="Q121:V121" si="40">Q118/Q125</f>
        <v>127.7644202430279</v>
      </c>
      <c r="R121" s="59">
        <f t="shared" si="40"/>
        <v>147.28976953012048</v>
      </c>
      <c r="S121" s="59">
        <f t="shared" si="40"/>
        <v>194.17530180606059</v>
      </c>
      <c r="T121" s="59">
        <f t="shared" si="40"/>
        <v>181.71488035483873</v>
      </c>
      <c r="U121" s="59">
        <f t="shared" si="40"/>
        <v>574.95628445407999</v>
      </c>
      <c r="V121" s="59">
        <f t="shared" si="40"/>
        <v>1038.6576230380035</v>
      </c>
      <c r="W121" s="59">
        <f>W118/W125</f>
        <v>613.64367750035819</v>
      </c>
      <c r="X121" s="59">
        <f>X118/X125</f>
        <v>505.67631796006447</v>
      </c>
      <c r="Y121" s="59">
        <f>Y118/Y125</f>
        <v>859.93114487178411</v>
      </c>
      <c r="Z121" s="382">
        <f t="shared" si="37"/>
        <v>0.36462912843786555</v>
      </c>
      <c r="AA121" s="306"/>
    </row>
    <row r="122" spans="1:27" x14ac:dyDescent="0.2">
      <c r="A122" s="23" t="s">
        <v>178</v>
      </c>
      <c r="B122" s="53" t="s">
        <v>49</v>
      </c>
      <c r="C122" s="51" t="s">
        <v>49</v>
      </c>
      <c r="D122" s="51" t="s">
        <v>49</v>
      </c>
      <c r="E122" s="51" t="s">
        <v>49</v>
      </c>
      <c r="F122" s="51" t="s">
        <v>49</v>
      </c>
      <c r="G122" s="51" t="s">
        <v>49</v>
      </c>
      <c r="H122" s="51" t="s">
        <v>49</v>
      </c>
      <c r="I122" s="51" t="s">
        <v>49</v>
      </c>
      <c r="J122" s="51" t="s">
        <v>49</v>
      </c>
      <c r="K122" s="51" t="s">
        <v>49</v>
      </c>
      <c r="L122" s="51" t="s">
        <v>49</v>
      </c>
      <c r="M122" s="51" t="s">
        <v>49</v>
      </c>
      <c r="N122" s="19" t="s">
        <v>49</v>
      </c>
      <c r="O122" s="19" t="s">
        <v>49</v>
      </c>
      <c r="P122" s="19" t="s">
        <v>49</v>
      </c>
      <c r="Q122" s="24">
        <f t="shared" ref="Q122:X122" si="41">Q115/((Q68+P68)/2*1000)</f>
        <v>24.309614717780775</v>
      </c>
      <c r="R122" s="24">
        <f t="shared" si="41"/>
        <v>21.727114783936209</v>
      </c>
      <c r="S122" s="24">
        <f t="shared" si="41"/>
        <v>19.436483221129613</v>
      </c>
      <c r="T122" s="24">
        <f t="shared" si="41"/>
        <v>19.304004278876906</v>
      </c>
      <c r="U122" s="24">
        <f t="shared" si="41"/>
        <v>36.131053833119459</v>
      </c>
      <c r="V122" s="24">
        <f t="shared" si="41"/>
        <v>39.915986134175292</v>
      </c>
      <c r="W122" s="24">
        <f t="shared" si="41"/>
        <v>23.53330920255538</v>
      </c>
      <c r="X122" s="24">
        <f t="shared" si="41"/>
        <v>18.270555609785674</v>
      </c>
      <c r="Y122" s="24">
        <f>Y115/((Y68+X68)/2*1000)</f>
        <v>19.03583729300605</v>
      </c>
      <c r="Z122" s="382">
        <f t="shared" si="37"/>
        <v>-2.7939245255905742E-3</v>
      </c>
    </row>
    <row r="123" spans="1:27" x14ac:dyDescent="0.2">
      <c r="A123" s="18" t="s">
        <v>179</v>
      </c>
      <c r="B123" s="53" t="s">
        <v>49</v>
      </c>
      <c r="C123" s="51" t="s">
        <v>49</v>
      </c>
      <c r="D123" s="51" t="s">
        <v>49</v>
      </c>
      <c r="E123" s="51" t="s">
        <v>49</v>
      </c>
      <c r="F123" s="51" t="s">
        <v>49</v>
      </c>
      <c r="G123" s="51" t="s">
        <v>49</v>
      </c>
      <c r="H123" s="51" t="s">
        <v>49</v>
      </c>
      <c r="I123" s="51" t="s">
        <v>49</v>
      </c>
      <c r="J123" s="51" t="s">
        <v>49</v>
      </c>
      <c r="K123" s="51" t="s">
        <v>49</v>
      </c>
      <c r="L123" s="51" t="s">
        <v>49</v>
      </c>
      <c r="M123" s="51" t="s">
        <v>49</v>
      </c>
      <c r="N123" s="168">
        <f t="shared" ref="N123:W123" si="42">+N10/N117</f>
        <v>9.3145569400774947E-4</v>
      </c>
      <c r="O123" s="168">
        <f t="shared" si="42"/>
        <v>9.1029868376274231E-4</v>
      </c>
      <c r="P123" s="168">
        <f t="shared" si="42"/>
        <v>8.1085701952653762E-4</v>
      </c>
      <c r="Q123" s="168">
        <f t="shared" si="42"/>
        <v>8.826240771054011E-4</v>
      </c>
      <c r="R123" s="168">
        <f t="shared" si="42"/>
        <v>9.6193505473295149E-4</v>
      </c>
      <c r="S123" s="168">
        <f t="shared" si="42"/>
        <v>9.7740847929367151E-4</v>
      </c>
      <c r="T123" s="168">
        <f t="shared" si="42"/>
        <v>9.9714454215142764E-4</v>
      </c>
      <c r="U123" s="168">
        <f t="shared" si="42"/>
        <v>1.1069371932153468E-3</v>
      </c>
      <c r="V123" s="168">
        <f t="shared" si="42"/>
        <v>1.1369745100324267E-3</v>
      </c>
      <c r="W123" s="168">
        <f t="shared" si="42"/>
        <v>1.0400000977195429E-3</v>
      </c>
      <c r="X123" s="168">
        <f>+X10/X117</f>
        <v>1.0802714367029631E-3</v>
      </c>
      <c r="Y123" s="168">
        <f>+Y10/Y117</f>
        <v>1.1317683849526624E-3</v>
      </c>
      <c r="Z123" s="382">
        <f t="shared" si="37"/>
        <v>2.5651662504017292E-2</v>
      </c>
      <c r="AA123" s="308"/>
    </row>
    <row r="124" spans="1:27" x14ac:dyDescent="0.2">
      <c r="A124" s="18" t="s">
        <v>110</v>
      </c>
      <c r="B124" s="51">
        <f t="shared" ref="B124:W124" si="43">+B12/(B125)</f>
        <v>0.2072</v>
      </c>
      <c r="C124" s="51">
        <f t="shared" si="43"/>
        <v>0.27920000000000006</v>
      </c>
      <c r="D124" s="51">
        <f t="shared" si="43"/>
        <v>0.35742971887550201</v>
      </c>
      <c r="E124" s="51">
        <f t="shared" si="43"/>
        <v>0.48656126482213441</v>
      </c>
      <c r="F124" s="51">
        <f t="shared" si="43"/>
        <v>0.60948616600790506</v>
      </c>
      <c r="G124" s="51">
        <f t="shared" si="43"/>
        <v>0.95879999999999999</v>
      </c>
      <c r="H124" s="51">
        <f t="shared" si="43"/>
        <v>1.018386454183267</v>
      </c>
      <c r="I124" s="51">
        <f t="shared" si="43"/>
        <v>0.91548902195608772</v>
      </c>
      <c r="J124" s="51">
        <f t="shared" si="43"/>
        <v>1.2067162977867205</v>
      </c>
      <c r="K124" s="51">
        <f t="shared" si="43"/>
        <v>1.3129740518962076</v>
      </c>
      <c r="L124" s="51">
        <f t="shared" si="43"/>
        <v>1.2155378486055775</v>
      </c>
      <c r="M124" s="51">
        <f t="shared" si="43"/>
        <v>0.87272727272727268</v>
      </c>
      <c r="N124" s="51">
        <f t="shared" si="43"/>
        <v>0.98790322580645162</v>
      </c>
      <c r="O124" s="51">
        <f t="shared" si="43"/>
        <v>1.1566801619433198</v>
      </c>
      <c r="P124" s="51">
        <f t="shared" si="43"/>
        <v>1.929175050301811</v>
      </c>
      <c r="Q124" s="51">
        <f t="shared" si="43"/>
        <v>1.8701195219123505</v>
      </c>
      <c r="R124" s="51">
        <f t="shared" si="43"/>
        <v>1.8048192771084339</v>
      </c>
      <c r="S124" s="51">
        <f t="shared" si="43"/>
        <v>1.7585948726868685</v>
      </c>
      <c r="T124" s="51">
        <f t="shared" si="43"/>
        <v>1.878540751854832</v>
      </c>
      <c r="U124" s="51">
        <f t="shared" si="43"/>
        <v>4.4081743490799861</v>
      </c>
      <c r="V124" s="51">
        <f t="shared" si="43"/>
        <v>5.8122902817165709</v>
      </c>
      <c r="W124" s="51">
        <f t="shared" si="43"/>
        <v>3.8083271458964187</v>
      </c>
      <c r="X124" s="51">
        <f>+X12/(X125)</f>
        <v>2.9075792003212855</v>
      </c>
      <c r="Y124" s="51">
        <f>+Y12/(Y125)</f>
        <v>3.6678667505835221</v>
      </c>
      <c r="Z124" s="382">
        <f t="shared" si="37"/>
        <v>0.143190444809151</v>
      </c>
      <c r="AA124" s="306"/>
    </row>
    <row r="125" spans="1:27" x14ac:dyDescent="0.2">
      <c r="A125" s="18" t="s">
        <v>31</v>
      </c>
      <c r="B125" s="115">
        <f>SUM('Quarterly Data 2001-2025'!C125:F125)</f>
        <v>250</v>
      </c>
      <c r="C125" s="49">
        <f>SUM('Quarterly Data 2001-2025'!G125:J125)</f>
        <v>250</v>
      </c>
      <c r="D125" s="49">
        <f>SUM('Quarterly Data 2001-2025'!K125:N125)</f>
        <v>249</v>
      </c>
      <c r="E125" s="49">
        <f>SUM('Quarterly Data 2001-2025'!O125:R125)</f>
        <v>253</v>
      </c>
      <c r="F125" s="49">
        <f>SUM('Quarterly Data 2001-2025'!S125:V125)</f>
        <v>253</v>
      </c>
      <c r="G125" s="49">
        <f>SUM('Quarterly Data 2001-2025'!W125:Z125)</f>
        <v>250</v>
      </c>
      <c r="H125" s="49">
        <f>SUM('Quarterly Data 2001-2025'!AA125:AD125)</f>
        <v>251</v>
      </c>
      <c r="I125" s="49">
        <f>SUM('Quarterly Data 2001-2025'!AE125:AH125)</f>
        <v>250.5</v>
      </c>
      <c r="J125" s="49">
        <f>SUM('Quarterly Data 2001-2025'!AI125:AL125)</f>
        <v>248.5</v>
      </c>
      <c r="K125" s="49">
        <f>SUM('Quarterly Data 2001-2025'!AM125:AP125)</f>
        <v>250.5</v>
      </c>
      <c r="L125" s="49">
        <f>SUM('Quarterly Data 2001-2025'!AQ125:AT125)</f>
        <v>251</v>
      </c>
      <c r="M125" s="49">
        <f>SUM('Quarterly Data 2001-2025'!AU125:AX125)</f>
        <v>247.5</v>
      </c>
      <c r="N125" s="49">
        <f>SUM('Quarterly Data 2001-2025'!AY125:BB125)</f>
        <v>248</v>
      </c>
      <c r="O125" s="49">
        <f>SUM('Quarterly Data 2001-2025'!BC125:BF125)</f>
        <v>247</v>
      </c>
      <c r="P125" s="49">
        <f>SUM('Quarterly Data 2001-2025'!BG125:BJ125)</f>
        <v>248.5</v>
      </c>
      <c r="Q125" s="49">
        <f>SUM('Quarterly Data 2001-2025'!BK125:BN125)</f>
        <v>251</v>
      </c>
      <c r="R125" s="49">
        <f>SUM('Quarterly Data 2001-2025'!BO125:BR125)</f>
        <v>249</v>
      </c>
      <c r="S125" s="49">
        <f>SUM('Quarterly Data 2001-2025'!BS125:BV125)</f>
        <v>247.5</v>
      </c>
      <c r="T125" s="49">
        <f>SUM('Quarterly Data 2001-2025'!BW125:BZ125)</f>
        <v>248</v>
      </c>
      <c r="U125" s="49">
        <f>SUM('Quarterly Data 2001-2025'!CA125:CD125)</f>
        <v>250</v>
      </c>
      <c r="V125" s="49">
        <f>SUM('Quarterly Data 2001-2025'!CE125:CH125)</f>
        <v>250.5</v>
      </c>
      <c r="W125" s="49">
        <f>SUM('Quarterly Data 2001-2025'!CI125:CL125)</f>
        <v>251</v>
      </c>
      <c r="X125" s="49">
        <f>SUM('Quarterly Data 2001-2025'!CM125:CP125)</f>
        <v>249</v>
      </c>
      <c r="Y125" s="49">
        <f>SUM('Quarterly Data 2001-2025'!CQ125:CT125)</f>
        <v>248.5</v>
      </c>
      <c r="Z125" s="382" t="s">
        <v>202</v>
      </c>
    </row>
    <row r="126" spans="1:27" x14ac:dyDescent="0.2">
      <c r="A126" s="6"/>
      <c r="B126" s="41"/>
      <c r="C126" s="14"/>
      <c r="D126" s="14"/>
      <c r="E126" s="14"/>
      <c r="F126" s="14"/>
      <c r="G126" s="14"/>
      <c r="H126" s="14"/>
      <c r="I126" s="14"/>
      <c r="J126" s="14"/>
      <c r="K126" s="14"/>
      <c r="L126" s="14"/>
      <c r="M126" s="14"/>
      <c r="N126" s="14"/>
      <c r="O126" s="14"/>
      <c r="P126" s="62"/>
      <c r="Q126" s="62"/>
      <c r="R126" s="62"/>
      <c r="S126" s="62"/>
      <c r="T126" s="62"/>
      <c r="U126" s="62"/>
      <c r="V126" s="62"/>
      <c r="W126" s="62"/>
      <c r="X126" s="62"/>
      <c r="Y126" s="62"/>
      <c r="Z126" s="17"/>
    </row>
    <row r="127" spans="1:27" x14ac:dyDescent="0.2">
      <c r="A127" s="135" t="s">
        <v>133</v>
      </c>
      <c r="B127" s="41"/>
      <c r="C127" s="14"/>
      <c r="D127" s="14"/>
      <c r="E127" s="14"/>
      <c r="F127" s="14"/>
      <c r="G127" s="14"/>
      <c r="H127" s="14"/>
      <c r="I127" s="14"/>
      <c r="J127" s="14"/>
      <c r="K127" s="14"/>
      <c r="L127" s="14"/>
      <c r="M127" s="14"/>
      <c r="N127" s="14"/>
      <c r="O127" s="14"/>
      <c r="P127" s="62"/>
      <c r="Q127" s="62"/>
      <c r="R127" s="62"/>
      <c r="S127" s="62"/>
      <c r="T127" s="62"/>
      <c r="U127" s="62"/>
      <c r="V127" s="62"/>
      <c r="W127" s="62"/>
      <c r="X127" s="62"/>
      <c r="Y127" s="62"/>
      <c r="Z127" s="17"/>
    </row>
    <row r="128" spans="1:27" x14ac:dyDescent="0.2">
      <c r="A128" s="23" t="s">
        <v>171</v>
      </c>
      <c r="B128" s="76">
        <f>+B31/(('Quarterly Data 2001-2025'!$B$88+'Quarterly Data 2001-2025'!$C$88+'Quarterly Data 2001-2025'!$D$88+'Quarterly Data 2001-2025'!$E$88+'Quarterly Data 2001-2025'!$F$88)/5)</f>
        <v>1.3094820853467715E-2</v>
      </c>
      <c r="C128" s="75">
        <f>+C31/(('Quarterly Data 2001-2025'!$F$88+'Quarterly Data 2001-2025'!$G$88+'Quarterly Data 2001-2025'!$H$88+'Quarterly Data 2001-2025'!$I$88+'Quarterly Data 2001-2025'!$J$88)/5)</f>
        <v>1.6790932348703567E-2</v>
      </c>
      <c r="D128" s="75">
        <f>+D31/(('Quarterly Data 2001-2025'!$J$88+'Quarterly Data 2001-2025'!$K$88+'Quarterly Data 2001-2025'!$L$88+'Quarterly Data 2001-2025'!$M$88+'Quarterly Data 2001-2025'!$N$88)/5)</f>
        <v>1.7715056056255271E-2</v>
      </c>
      <c r="E128" s="75">
        <f>+E31/(('Quarterly Data 2001-2025'!$N$88+'Quarterly Data 2001-2025'!$O$88+'Quarterly Data 2001-2025'!$P$88+'Quarterly Data 2001-2025'!$Q$88+'Quarterly Data 2001-2025'!$R$88)/5)</f>
        <v>1.4180896045332151E-2</v>
      </c>
      <c r="F128" s="75">
        <f>+F31/(('Quarterly Data 2001-2025'!$R$88+'Quarterly Data 2001-2025'!$S$88+'Quarterly Data 2001-2025'!$T$88+'Quarterly Data 2001-2025'!$U$88+'Quarterly Data 2001-2025'!$V$88)/5)</f>
        <v>1.1844493608611872E-2</v>
      </c>
      <c r="G128" s="75">
        <f>+G31/(('Quarterly Data 2001-2025'!$V$88+'Quarterly Data 2001-2025'!$W$88+'Quarterly Data 2001-2025'!$X$88+'Quarterly Data 2001-2025'!$Y$88+'Quarterly Data 2001-2025'!$Z$88)/5)</f>
        <v>1.1783831973515955E-2</v>
      </c>
      <c r="H128" s="75">
        <f>H31/(('Quarterly Data 2001-2025'!$Z$88+'Quarterly Data 2001-2025'!$AA$88+'Quarterly Data 2001-2025'!$AB$88+'Quarterly Data 2001-2025'!$AC$88+'Quarterly Data 2001-2025'!$AD$88)/5)</f>
        <v>1.126458686151436E-2</v>
      </c>
      <c r="I128" s="75">
        <f>I31/(('Quarterly Data 2001-2025'!$AD$88+'Quarterly Data 2001-2025'!$AE$88+'Quarterly Data 2001-2025'!$AF$88+'Quarterly Data 2001-2025'!$AG$88+'Quarterly Data 2001-2025'!$AH$88)/5)</f>
        <v>1.1630630810872835E-2</v>
      </c>
      <c r="J128" s="75">
        <f>J31/(('Quarterly Data 2001-2025'!$AH$88+'Quarterly Data 2001-2025'!$AI$88+'Quarterly Data 2001-2025'!$AJ$88+'Quarterly Data 2001-2025'!$AK$88+'Quarterly Data 2001-2025'!$AL$88)/5)</f>
        <v>1.0328536019733572E-2</v>
      </c>
      <c r="K128" s="75">
        <f>K31/(('Quarterly Data 2001-2025'!$AL$88+'Quarterly Data 2001-2025'!$AM$88+'Quarterly Data 2001-2025'!$AN$88+'Quarterly Data 2001-2025'!$AO$88+'Quarterly Data 2001-2025'!$AP$88)/5)</f>
        <v>8.15241809784659E-3</v>
      </c>
      <c r="L128" s="75">
        <f>L31/(('Quarterly Data 2001-2025'!$AP$88+'Quarterly Data 2001-2025'!$AQ$88+'Quarterly Data 2001-2025'!$AR$88+'Quarterly Data 2001-2025'!$AS$88+'Quarterly Data 2001-2025'!$AT$88)/5)</f>
        <v>8.2219484616422953E-3</v>
      </c>
      <c r="M128" s="75">
        <f>M31/(('Quarterly Data 2001-2025'!$AT$88+'Quarterly Data 2001-2025'!$AU$88+'Quarterly Data 2001-2025'!$AV$88+'Quarterly Data 2001-2025'!$AW$88+'Quarterly Data 2001-2025'!$AX$88)/5)</f>
        <v>6.600049201971458E-3</v>
      </c>
      <c r="N128" s="75">
        <f>N31/(('Quarterly Data 2001-2025'!$AX$88+'Quarterly Data 2001-2025'!$AY$88+'Quarterly Data 2001-2025'!$AZ$88+'Quarterly Data 2001-2025'!$BA$88+'Quarterly Data 2001-2025'!$BB$88)/5)</f>
        <v>5.716461006919909E-3</v>
      </c>
      <c r="O128" s="75">
        <f>O31/(('Quarterly Data 2001-2025'!$BB$88+'Quarterly Data 2001-2025'!$BC$88+'Quarterly Data 2001-2025'!$BD$88+'Quarterly Data 2001-2025'!$BE$88+'Quarterly Data 2001-2025'!$BF$88)/5)</f>
        <v>5.1214932765234825E-3</v>
      </c>
      <c r="P128" s="75">
        <f>P31/(('Quarterly Data 2001-2025'!$BF$88+'Quarterly Data 2001-2025'!$BG$88+'Quarterly Data 2001-2025'!$BH$88+'Quarterly Data 2001-2025'!$BI$88+'Quarterly Data 2001-2025'!$BJ$88)/5)</f>
        <v>5.1422171135118927E-3</v>
      </c>
      <c r="Q128" s="75">
        <f>(Q31)/(('Quarterly Data 2001-2025'!$BJ$88+'Quarterly Data 2001-2025'!$BK$88+'Quarterly Data 2001-2025'!$BL$88+'Quarterly Data 2001-2025'!$BM$88+'Quarterly Data 2001-2025'!$BN$88)/5)</f>
        <v>4.2487945803998065E-3</v>
      </c>
      <c r="R128" s="75">
        <f>(R31)/(('Quarterly Data 2001-2025'!$BN$88+'Quarterly Data 2001-2025'!$BO$88+'Quarterly Data 2001-2025'!$BP$88+'Quarterly Data 2001-2025'!$BQ$88+'Quarterly Data 2001-2025'!$BR$88)/5)</f>
        <v>3.6714674724182841E-3</v>
      </c>
      <c r="S128" s="75">
        <f>(S31)/(('Quarterly Data 2001-2025'!$BR$88+'Quarterly Data 2001-2025'!$BS$88+'Quarterly Data 2001-2025'!$BT$88+'Quarterly Data 2001-2025'!$BU$88+'Quarterly Data 2001-2025'!$BV$88)/5)</f>
        <v>3.474058095470509E-3</v>
      </c>
      <c r="T128" s="75">
        <f>(T31)/(('Quarterly Data 2001-2025'!$BV$88+'Quarterly Data 2001-2025'!$BW$88+'Quarterly Data 2001-2025'!$BX$88+'Quarterly Data 2001-2025'!$BY$88+'Quarterly Data 2001-2025'!$BZ$88)/5)</f>
        <v>3.3528831960113492E-3</v>
      </c>
      <c r="U128" s="75">
        <f>(U31)/(('Quarterly Data 2001-2025'!$BZ$88+'Quarterly Data 2001-2025'!$CA$88+'Quarterly Data 2001-2025'!$CB$88+'Quarterly Data 2001-2025'!$CC$88+'Quarterly Data 2001-2025'!$CD$88)/5)</f>
        <v>5.0946035245670231E-3</v>
      </c>
      <c r="V128" s="75">
        <f>(V31)/AVERAGE('Quarterly Data 2001-2025'!CD88:CH88)</f>
        <v>4.7399249858278356E-3</v>
      </c>
      <c r="W128" s="75">
        <f>(W31)/AVERAGE('Quarterly Data 2001-2025'!CH88:CL88)</f>
        <v>4.2383782635667163E-3</v>
      </c>
      <c r="X128" s="75">
        <f>(X31)/AVERAGE('Quarterly Data 2001-2025'!CL88:CP88)</f>
        <v>4.756010387199903E-3</v>
      </c>
      <c r="Y128" s="75">
        <f>AVERAGE('Quarterly Data 2001-2025'!CQ128:CT128)</f>
        <v>4.3996261451697081E-3</v>
      </c>
      <c r="Z128" s="50">
        <f>+((Y128/T128)^(1/5))-1</f>
        <v>5.5843303904095754E-2</v>
      </c>
      <c r="AA128" s="307"/>
    </row>
    <row r="129" spans="1:29" x14ac:dyDescent="0.2">
      <c r="A129" s="58" t="s">
        <v>172</v>
      </c>
      <c r="B129" s="78">
        <f>-B37/(('Quarterly Data 2001-2025'!$B$88+'Quarterly Data 2001-2025'!$C$88+'Quarterly Data 2001-2025'!$D$88+'Quarterly Data 2001-2025'!$E$88+'Quarterly Data 2001-2025'!$F$88)/5)</f>
        <v>1.1798764754096098E-2</v>
      </c>
      <c r="C129" s="77">
        <f>-C37/(('Quarterly Data 2001-2025'!$F$88+'Quarterly Data 2001-2025'!$G$88+'Quarterly Data 2001-2025'!$H$88+'Quarterly Data 2001-2025'!$I$88+'Quarterly Data 2001-2025'!$J$88)/5)</f>
        <v>1.3096379403853421E-2</v>
      </c>
      <c r="D129" s="77">
        <f>-D37/(('Quarterly Data 2001-2025'!$J$88+'Quarterly Data 2001-2025'!$K$88+'Quarterly Data 2001-2025'!$L$88+'Quarterly Data 2001-2025'!$M$88+'Quarterly Data 2001-2025'!$N$88)/5)</f>
        <v>1.0740601218737857E-2</v>
      </c>
      <c r="E129" s="77">
        <f>-E37/(('Quarterly Data 2001-2025'!$N$88+'Quarterly Data 2001-2025'!$O$88+'Quarterly Data 2001-2025'!$P$88+'Quarterly Data 2001-2025'!$Q$88+'Quarterly Data 2001-2025'!$R$88)/5)</f>
        <v>7.345252127648071E-3</v>
      </c>
      <c r="F129" s="77">
        <f>-F37/(('Quarterly Data 2001-2025'!$R$88+'Quarterly Data 2001-2025'!$S$88+'Quarterly Data 2001-2025'!$T$88+'Quarterly Data 2001-2025'!$U$88+'Quarterly Data 2001-2025'!$V$88)/5)</f>
        <v>5.7264200465177214E-3</v>
      </c>
      <c r="G129" s="77">
        <f>-G37/(('Quarterly Data 2001-2025'!$V$88+'Quarterly Data 2001-2025'!$W$88+'Quarterly Data 2001-2025'!$X$88+'Quarterly Data 2001-2025'!$Y$88+'Quarterly Data 2001-2025'!$Z$88)/5)</f>
        <v>5.43795105698326E-3</v>
      </c>
      <c r="H129" s="77">
        <f>-H37/(('Quarterly Data 2001-2025'!$Z$88+'Quarterly Data 2001-2025'!$AA$88+'Quarterly Data 2001-2025'!$AB$88+'Quarterly Data 2001-2025'!$AC$88+'Quarterly Data 2001-2025'!$AD$88)/5)</f>
        <v>5.0103193005384518E-3</v>
      </c>
      <c r="I129" s="77">
        <f>-I37/(('Quarterly Data 2001-2025'!$AD$88+'Quarterly Data 2001-2025'!$AE$88+'Quarterly Data 2001-2025'!$AF$88+'Quarterly Data 2001-2025'!$AG$88+'Quarterly Data 2001-2025'!$AH$88)/5)</f>
        <v>6.1268620139150838E-3</v>
      </c>
      <c r="J129" s="77">
        <f>-J37/(('Quarterly Data 2001-2025'!$AH$88+'Quarterly Data 2001-2025'!$AI$88+'Quarterly Data 2001-2025'!$AJ$88+'Quarterly Data 2001-2025'!$AK$88+'Quarterly Data 2001-2025'!$AL$88)/5)</f>
        <v>4.6455103075714582E-3</v>
      </c>
      <c r="K129" s="77">
        <f>-K37/(('Quarterly Data 2001-2025'!$AL$88+'Quarterly Data 2001-2025'!$AM$88+'Quarterly Data 2001-2025'!$AN$88+'Quarterly Data 2001-2025'!$AO$88+'Quarterly Data 2001-2025'!$AP$88)/5)</f>
        <v>3.7531041317431179E-3</v>
      </c>
      <c r="L129" s="77">
        <f>-L37/(('Quarterly Data 2001-2025'!$AP$88+'Quarterly Data 2001-2025'!$AQ$88+'Quarterly Data 2001-2025'!$AR$88+'Quarterly Data 2001-2025'!$AS$88+'Quarterly Data 2001-2025'!$AT$88)/5)</f>
        <v>4.0557974885382462E-3</v>
      </c>
      <c r="M129" s="77">
        <f>-M37/(('Quarterly Data 2001-2025'!$AT$88+'Quarterly Data 2001-2025'!$AU$88+'Quarterly Data 2001-2025'!$AV$88+'Quarterly Data 2001-2025'!$AW$88+'Quarterly Data 2001-2025'!$AX$88)/5)</f>
        <v>4.1912909638638094E-3</v>
      </c>
      <c r="N129" s="77">
        <f>-N37/(('Quarterly Data 2001-2025'!$AX$88+'Quarterly Data 2001-2025'!$AY$88+'Quarterly Data 2001-2025'!$AZ$88+'Quarterly Data 2001-2025'!$BA$88+'Quarterly Data 2001-2025'!$BB$88)/5)</f>
        <v>3.4830476025058525E-3</v>
      </c>
      <c r="O129" s="77">
        <f>-O37/(('Quarterly Data 2001-2025'!$BB$88+'Quarterly Data 2001-2025'!$BC$88+'Quarterly Data 2001-2025'!$BD$88+'Quarterly Data 2001-2025'!$BE$88+'Quarterly Data 2001-2025'!$BF$88)/5)</f>
        <v>2.8909264628455937E-3</v>
      </c>
      <c r="P129" s="77">
        <f>-P37/(('Quarterly Data 2001-2025'!$BF$88+'Quarterly Data 2001-2025'!$BG$88+'Quarterly Data 2001-2025'!$BH$88+'Quarterly Data 2001-2025'!$BI$88+'Quarterly Data 2001-2025'!$BJ$88)/5)</f>
        <v>2.3568922804040409E-3</v>
      </c>
      <c r="Q129" s="74">
        <f>(-Q37)/(('Quarterly Data 2001-2025'!$BJ$88+'Quarterly Data 2001-2025'!$BK$88+'Quarterly Data 2001-2025'!$BL$88+'Quarterly Data 2001-2025'!$BM$88+'Quarterly Data 2001-2025'!$BN$88)/5)</f>
        <v>2.0724850027766897E-3</v>
      </c>
      <c r="R129" s="74">
        <f>(-R37)/(('Quarterly Data 2001-2025'!$BN$88+'Quarterly Data 2001-2025'!$BO$88+'Quarterly Data 2001-2025'!$BP$88+'Quarterly Data 2001-2025'!$BQ$88+'Quarterly Data 2001-2025'!$BR$88)/5)</f>
        <v>2.0128661374762989E-3</v>
      </c>
      <c r="S129" s="74">
        <f>(-S37-35)/(('Quarterly Data 2001-2025'!$BR$88+'Quarterly Data 2001-2025'!$BS$88+'Quarterly Data 2001-2025'!$BT$88+'Quarterly Data 2001-2025'!$BU$88+'Quarterly Data 2001-2025'!$BV$88)/5)</f>
        <v>1.9681980747955448E-3</v>
      </c>
      <c r="T129" s="74">
        <f>-T37/(('Quarterly Data 2001-2025'!$BV$88+'Quarterly Data 2001-2025'!$BW$88+'Quarterly Data 2001-2025'!$BX$88+'Quarterly Data 2001-2025'!$BY$88+'Quarterly Data 2001-2025'!$BZ$88)/5)</f>
        <v>1.8697211701452351E-3</v>
      </c>
      <c r="U129" s="74">
        <f>-U37/(('Quarterly Data 2001-2025'!$BZ$88+'Quarterly Data 2001-2025'!$CA$88+'Quarterly Data 2001-2025'!$CB$88+'Quarterly Data 2001-2025'!$CC$88+'Quarterly Data 2001-2025'!$CD$88)/5)</f>
        <v>1.6540962106150222E-3</v>
      </c>
      <c r="V129" s="74">
        <f>-(V37)/AVERAGE('Quarterly Data 2001-2025'!CD88:CH88)</f>
        <v>1.240504189066585E-3</v>
      </c>
      <c r="W129" s="74">
        <f>-(W37)/AVERAGE('Quarterly Data 2001-2025'!CH88:CL88)</f>
        <v>1.470559386379485E-3</v>
      </c>
      <c r="X129" s="74">
        <f>-(X37)/AVERAGE('Quarterly Data 2001-2025'!CL88:CP88)</f>
        <v>1.5890936710956181E-3</v>
      </c>
      <c r="Y129" s="74">
        <f>-(Y37)/AVERAGE('Quarterly Data 2001-2025'!CQ88:CT88)</f>
        <v>1.4081055461672236E-3</v>
      </c>
      <c r="Z129" s="382">
        <f>+((Y129/T129)^(1/5))-1</f>
        <v>-5.5130842962872739E-2</v>
      </c>
      <c r="AA129" s="309"/>
    </row>
    <row r="130" spans="1:29" x14ac:dyDescent="0.2">
      <c r="A130" s="58" t="s">
        <v>173</v>
      </c>
      <c r="B130" s="78">
        <f>+B43/(('Quarterly Data 2001-2025'!$B$88+'Quarterly Data 2001-2025'!$C$88+'Quarterly Data 2001-2025'!$D$88+'Quarterly Data 2001-2025'!$E$88+'Quarterly Data 2001-2025'!$F$88)/5)</f>
        <v>1.2960560993716169E-3</v>
      </c>
      <c r="C130" s="77">
        <f>+C43/(('Quarterly Data 2001-2025'!$F$88+'Quarterly Data 2001-2025'!$G$88+'Quarterly Data 2001-2025'!$H$88+'Quarterly Data 2001-2025'!$I$88+'Quarterly Data 2001-2025'!$J$88)/5)</f>
        <v>3.6808572414662108E-3</v>
      </c>
      <c r="D130" s="77">
        <f>+D43/(('Quarterly Data 2001-2025'!$J$88+'Quarterly Data 2001-2025'!$K$88+'Quarterly Data 2001-2025'!$L$88+'Quarterly Data 2001-2025'!$M$88+'Quarterly Data 2001-2025'!$N$88)/5)</f>
        <v>6.9744548375174137E-3</v>
      </c>
      <c r="E130" s="77">
        <f>+E43/(('Quarterly Data 2001-2025'!$N$88+'Quarterly Data 2001-2025'!$O$88+'Quarterly Data 2001-2025'!$P$88+'Quarterly Data 2001-2025'!$Q$88+'Quarterly Data 2001-2025'!$R$88)/5)</f>
        <v>6.8356439176840795E-3</v>
      </c>
      <c r="F130" s="77">
        <f>+F43/(('Quarterly Data 2001-2025'!$R$88+'Quarterly Data 2001-2025'!$S$88+'Quarterly Data 2001-2025'!$T$88+'Quarterly Data 2001-2025'!$U$88+'Quarterly Data 2001-2025'!$V$88)/5)</f>
        <v>6.1222463035769583E-3</v>
      </c>
      <c r="G130" s="77">
        <f>+G43/(('Quarterly Data 2001-2025'!$V$88+'Quarterly Data 2001-2025'!$W$88+'Quarterly Data 2001-2025'!$X$88+'Quarterly Data 2001-2025'!$Y$88+'Quarterly Data 2001-2025'!$Z$88)/5)</f>
        <v>6.3458809165326951E-3</v>
      </c>
      <c r="H130" s="77">
        <f>H43/(('Quarterly Data 2001-2025'!$Z$88+'Quarterly Data 2001-2025'!$AA$88+'Quarterly Data 2001-2025'!$AB$88+'Quarterly Data 2001-2025'!$AC$88+'Quarterly Data 2001-2025'!$AD$88)/5)</f>
        <v>6.2248096196024939E-3</v>
      </c>
      <c r="I130" s="77">
        <f>I43/(('Quarterly Data 2001-2025'!$AD$88+'Quarterly Data 2001-2025'!$AE$88+'Quarterly Data 2001-2025'!$AF$88+'Quarterly Data 2001-2025'!$AG$88+'Quarterly Data 2001-2025'!$AH$88)/5)</f>
        <v>5.5037687969577507E-3</v>
      </c>
      <c r="J130" s="77">
        <f>J43/(('Quarterly Data 2001-2025'!$AH$88+'Quarterly Data 2001-2025'!$AI$88+'Quarterly Data 2001-2025'!$AJ$88+'Quarterly Data 2001-2025'!$AK$88+'Quarterly Data 2001-2025'!$AL$88)/5)</f>
        <v>5.6830257121621144E-3</v>
      </c>
      <c r="K130" s="77">
        <f>K43/(('Quarterly Data 2001-2025'!$AL$88+'Quarterly Data 2001-2025'!$AM$88+'Quarterly Data 2001-2025'!$AN$88+'Quarterly Data 2001-2025'!$AO$88+'Quarterly Data 2001-2025'!$AP$88)/5)</f>
        <v>4.3993139661034708E-3</v>
      </c>
      <c r="L130" s="77">
        <f>L43/(('Quarterly Data 2001-2025'!$AP$88+'Quarterly Data 2001-2025'!$AQ$88+'Quarterly Data 2001-2025'!$AR$88+'Quarterly Data 2001-2025'!$AS$88+'Quarterly Data 2001-2025'!$AT$88)/5)</f>
        <v>4.0938370729261559E-3</v>
      </c>
      <c r="M130" s="77">
        <f>M43/(('Quarterly Data 2001-2025'!$AT$88+'Quarterly Data 2001-2025'!$AU$88+'Quarterly Data 2001-2025'!$AV$88+'Quarterly Data 2001-2025'!$AW$88+'Quarterly Data 2001-2025'!$AX$88)/5)</f>
        <v>2.3967722281784381E-3</v>
      </c>
      <c r="N130" s="77">
        <f>N43/(('Quarterly Data 2001-2025'!$AX$88+'Quarterly Data 2001-2025'!$AY$88+'Quarterly Data 2001-2025'!$AZ$88+'Quarterly Data 2001-2025'!$BA$88+'Quarterly Data 2001-2025'!$BB$88)/5)</f>
        <v>2.2235447366447309E-3</v>
      </c>
      <c r="O130" s="77">
        <f>O43/(('Quarterly Data 2001-2025'!$BB$88+'Quarterly Data 2001-2025'!$BC$88+'Quarterly Data 2001-2025'!$BD$88+'Quarterly Data 2001-2025'!$BE$88+'Quarterly Data 2001-2025'!$BF$88)/5)</f>
        <v>2.2335881090354117E-3</v>
      </c>
      <c r="P130" s="77">
        <f>P43/(('Quarterly Data 2001-2025'!$BF$88+'Quarterly Data 2001-2025'!$BG$88+'Quarterly Data 2001-2025'!$BH$88+'Quarterly Data 2001-2025'!$BI$88+'Quarterly Data 2001-2025'!$BJ$88)/5)</f>
        <v>2.7840881126626536E-3</v>
      </c>
      <c r="Q130" s="77">
        <f>(Q43)/(('Quarterly Data 2001-2025'!$BJ$88+'Quarterly Data 2001-2025'!$BK$88+'Quarterly Data 2001-2025'!$BL$88+'Quarterly Data 2001-2025'!$BM$88+'Quarterly Data 2001-2025'!$BN$88)/5)</f>
        <v>2.1739481277946479E-3</v>
      </c>
      <c r="R130" s="77">
        <f>(R43)/(('Quarterly Data 2001-2025'!$BN$88+'Quarterly Data 2001-2025'!$BO$88+'Quarterly Data 2001-2025'!$BP$88+'Quarterly Data 2001-2025'!$BQ$88+'Quarterly Data 2001-2025'!$BR$88)/5)</f>
        <v>1.6600702906246015E-3</v>
      </c>
      <c r="S130" s="77">
        <f>(S43+35)/(('Quarterly Data 2001-2025'!$BR$88+'Quarterly Data 2001-2025'!$BS$88+'Quarterly Data 2001-2025'!$BT$88+'Quarterly Data 2001-2025'!$BU$88+'Quarterly Data 2001-2025'!$BV$88)/5)</f>
        <v>1.4998479839920787E-3</v>
      </c>
      <c r="T130" s="77">
        <f>T43/(('Quarterly Data 2001-2025'!$BV$88+'Quarterly Data 2001-2025'!$BW$88+'Quarterly Data 2001-2025'!$BX$88+'Quarterly Data 2001-2025'!$BY$88+'Quarterly Data 2001-2025'!$BZ$88)/5)</f>
        <v>1.4609336019629042E-3</v>
      </c>
      <c r="U130" s="77">
        <f>U43/(('Quarterly Data 2001-2025'!$BZ$88+'Quarterly Data 2001-2025'!$CA$88+'Quarterly Data 2001-2025'!$CB$88+'Quarterly Data 2001-2025'!$CC$88+'Quarterly Data 2001-2025'!$CD$88)/5)</f>
        <v>3.4194682738488452E-3</v>
      </c>
      <c r="V130" s="77">
        <f>(V43)/AVERAGE('Quarterly Data 2001-2025'!CD88:CH88)</f>
        <v>3.4990731955211697E-3</v>
      </c>
      <c r="W130" s="77">
        <f>(W43)/AVERAGE('Quarterly Data 2001-2025'!CH88:CL88)</f>
        <v>2.7662782804260778E-3</v>
      </c>
      <c r="X130" s="77">
        <f>(X43)/AVERAGE('Quarterly Data 2001-2025'!CL88:CP88)</f>
        <v>3.1716478209063486E-3</v>
      </c>
      <c r="Y130" s="77">
        <f>(Y43)/AVERAGE('Quarterly Data 2001-2025'!CQ88:CT88)</f>
        <v>2.8836699883545663E-3</v>
      </c>
      <c r="Z130" s="61">
        <f>+((Y130/T130)^(1/5))-1</f>
        <v>0.14567916679969883</v>
      </c>
    </row>
    <row r="131" spans="1:29" ht="15" x14ac:dyDescent="0.2">
      <c r="A131" s="23" t="s">
        <v>238</v>
      </c>
      <c r="B131" s="76">
        <f>B17/(('Quarterly Data 2001-2025'!B84+B84)/2)</f>
        <v>3.1372549019607846E-3</v>
      </c>
      <c r="C131" s="75">
        <f t="shared" ref="C131:S131" si="44">C17/((B84+C84)/2)</f>
        <v>6.0606060606060606E-3</v>
      </c>
      <c r="D131" s="75">
        <f t="shared" si="44"/>
        <v>4.3181818181818182E-3</v>
      </c>
      <c r="E131" s="75">
        <f t="shared" si="44"/>
        <v>9.1478696741854638E-3</v>
      </c>
      <c r="F131" s="75">
        <f t="shared" si="44"/>
        <v>1.3311884174542528E-2</v>
      </c>
      <c r="G131" s="75">
        <f t="shared" si="44"/>
        <v>8.5714285714285719E-3</v>
      </c>
      <c r="H131" s="75">
        <f t="shared" si="44"/>
        <v>8.8535688954800434E-3</v>
      </c>
      <c r="I131" s="75">
        <f t="shared" si="44"/>
        <v>5.4404377703712705E-3</v>
      </c>
      <c r="J131" s="75">
        <f t="shared" si="44"/>
        <v>4.9879195020265396E-3</v>
      </c>
      <c r="K131" s="75">
        <f t="shared" si="44"/>
        <v>5.2508751458576431E-3</v>
      </c>
      <c r="L131" s="75">
        <f t="shared" si="44"/>
        <v>4.2795051822133072E-3</v>
      </c>
      <c r="M131" s="75">
        <f t="shared" si="44"/>
        <v>3.7555379514714079E-3</v>
      </c>
      <c r="N131" s="75">
        <f t="shared" si="44"/>
        <v>3.5029262249562133E-3</v>
      </c>
      <c r="O131" s="75">
        <f t="shared" si="44"/>
        <v>3.3366102739424532E-3</v>
      </c>
      <c r="P131" s="75">
        <f t="shared" si="44"/>
        <v>3.5834502229477793E-3</v>
      </c>
      <c r="Q131" s="75">
        <f t="shared" si="44"/>
        <v>3.1076073650150729E-3</v>
      </c>
      <c r="R131" s="75">
        <f>R17/((Q84+R84)/2)</f>
        <v>3.444243303442849E-3</v>
      </c>
      <c r="S131" s="75">
        <f t="shared" si="44"/>
        <v>3.7298106267158347E-3</v>
      </c>
      <c r="T131" s="75">
        <v>3.3500000000000001E-3</v>
      </c>
      <c r="U131" s="75">
        <v>3.475778010295652E-3</v>
      </c>
      <c r="V131" s="75">
        <v>3.4961906059729955E-3</v>
      </c>
      <c r="W131" s="75">
        <v>3.0275353675309202E-3</v>
      </c>
      <c r="X131" s="75">
        <v>2.7514798377711444E-3</v>
      </c>
      <c r="Y131" s="75">
        <v>2.6011971337508858E-3</v>
      </c>
      <c r="Z131" s="50">
        <f>+((Y131/T131)^(1/5))-1</f>
        <v>-4.9338968895126456E-2</v>
      </c>
    </row>
    <row r="132" spans="1:29" x14ac:dyDescent="0.2">
      <c r="A132" s="6"/>
      <c r="B132" s="80"/>
      <c r="C132" s="79"/>
      <c r="D132" s="79"/>
      <c r="E132" s="79"/>
      <c r="F132" s="79"/>
      <c r="G132" s="79"/>
      <c r="H132" s="79"/>
      <c r="I132" s="79"/>
      <c r="J132" s="79"/>
      <c r="K132" s="79"/>
      <c r="L132" s="79"/>
      <c r="M132" s="79"/>
      <c r="N132" s="79"/>
      <c r="O132" s="79"/>
      <c r="P132" s="81"/>
      <c r="Q132" s="82"/>
      <c r="R132" s="82"/>
      <c r="S132" s="82"/>
      <c r="T132" s="82"/>
      <c r="U132" s="82"/>
      <c r="V132" s="82"/>
      <c r="W132" s="82"/>
      <c r="X132" s="82"/>
      <c r="Y132" s="82"/>
      <c r="Z132" s="17"/>
    </row>
    <row r="133" spans="1:29" x14ac:dyDescent="0.2">
      <c r="A133" s="135" t="s">
        <v>124</v>
      </c>
      <c r="B133" s="41"/>
      <c r="C133" s="14"/>
      <c r="D133" s="14"/>
      <c r="E133" s="14"/>
      <c r="F133" s="14"/>
      <c r="G133" s="14"/>
      <c r="H133" s="14"/>
      <c r="I133" s="14"/>
      <c r="J133" s="14"/>
      <c r="K133" s="14"/>
      <c r="L133" s="14"/>
      <c r="M133" s="14"/>
      <c r="N133" s="14"/>
      <c r="O133" s="14"/>
      <c r="P133" s="56"/>
      <c r="Q133" s="62"/>
      <c r="R133" s="62"/>
      <c r="S133" s="62"/>
      <c r="T133" s="62"/>
      <c r="U133" s="62"/>
      <c r="V133" s="62"/>
      <c r="W133" s="62"/>
      <c r="X133" s="62"/>
      <c r="Y133" s="62"/>
      <c r="Z133" s="17"/>
    </row>
    <row r="134" spans="1:29" s="198" customFormat="1" x14ac:dyDescent="0.2">
      <c r="A134" s="323" t="s">
        <v>117</v>
      </c>
      <c r="B134" s="26">
        <f>'Quarterly Data 2001-2025'!F134</f>
        <v>65</v>
      </c>
      <c r="C134" s="24">
        <f>'Quarterly Data 2001-2025'!J134</f>
        <v>53</v>
      </c>
      <c r="D134" s="24">
        <f>'Quarterly Data 2001-2025'!N134</f>
        <v>61</v>
      </c>
      <c r="E134" s="24">
        <f>'Quarterly Data 2001-2025'!R134</f>
        <v>73</v>
      </c>
      <c r="F134" s="24">
        <f>'Quarterly Data 2001-2025'!V134</f>
        <v>94</v>
      </c>
      <c r="G134" s="24">
        <f>'Quarterly Data 2001-2025'!Z134</f>
        <v>157</v>
      </c>
      <c r="H134" s="24">
        <f>'Quarterly Data 2001-2025'!AD134</f>
        <v>210</v>
      </c>
      <c r="I134" s="24">
        <f>'Quarterly Data 2001-2025'!AH134</f>
        <v>192</v>
      </c>
      <c r="J134" s="24">
        <f>'Quarterly Data 2001-2025'!AL134</f>
        <v>194</v>
      </c>
      <c r="K134" s="24">
        <f>'Quarterly Data 2001-2025'!AP134</f>
        <v>244</v>
      </c>
      <c r="L134" s="24">
        <f>'Quarterly Data 2001-2025'!AT134</f>
        <v>260</v>
      </c>
      <c r="M134" s="24">
        <f>+'Quarterly Data 2001-2025'!AX134</f>
        <v>262</v>
      </c>
      <c r="N134" s="24">
        <f>+'Quarterly Data 2001-2025'!BB134</f>
        <v>264</v>
      </c>
      <c r="O134" s="24">
        <f>+'Quarterly Data 2001-2025'!BF134</f>
        <v>296</v>
      </c>
      <c r="P134" s="24">
        <f>+'Quarterly Data 2001-2025'!BJ134</f>
        <v>334</v>
      </c>
      <c r="Q134" s="24">
        <f>+'Quarterly Data 2001-2025'!BN134</f>
        <v>365</v>
      </c>
      <c r="R134" s="24">
        <f>+'Quarterly Data 2001-2025'!BR134</f>
        <v>390</v>
      </c>
      <c r="S134" s="24">
        <f>+'Quarterly Data 2001-2025'!BV134</f>
        <v>422</v>
      </c>
      <c r="T134" s="24">
        <f>+'Quarterly Data 2001-2025'!BZ134</f>
        <v>445</v>
      </c>
      <c r="U134" s="24">
        <f>+'Quarterly Data 2001-2025'!CD134</f>
        <v>510</v>
      </c>
      <c r="V134" s="24">
        <f>+'Quarterly Data 2001-2025'!CH134</f>
        <v>603</v>
      </c>
      <c r="W134" s="24">
        <f>+'Quarterly Data 2001-2025'!CL134</f>
        <v>635</v>
      </c>
      <c r="X134" s="24">
        <f>+'Quarterly Data 2001-2025'!CP134</f>
        <v>661</v>
      </c>
      <c r="Y134" s="24">
        <f>+'Quarterly Data 2001-2025'!CT134</f>
        <v>679</v>
      </c>
      <c r="Z134" s="50">
        <f>+((Y134/T134)^(1/5))-1</f>
        <v>8.818303945655348E-2</v>
      </c>
    </row>
    <row r="135" spans="1:29" x14ac:dyDescent="0.2">
      <c r="A135" s="23" t="s">
        <v>118</v>
      </c>
      <c r="B135" s="26">
        <v>64</v>
      </c>
      <c r="C135" s="24">
        <v>62</v>
      </c>
      <c r="D135" s="24">
        <v>56</v>
      </c>
      <c r="E135" s="24">
        <v>74</v>
      </c>
      <c r="F135" s="24">
        <v>93</v>
      </c>
      <c r="G135" s="24">
        <v>129</v>
      </c>
      <c r="H135" s="24">
        <v>178</v>
      </c>
      <c r="I135" s="24">
        <v>196</v>
      </c>
      <c r="J135" s="24">
        <v>185</v>
      </c>
      <c r="K135" s="24">
        <f>AVERAGE('Quarterly Data 2001-2025'!AL134:AP134)</f>
        <v>224.8</v>
      </c>
      <c r="L135" s="24">
        <f>AVERAGE('Quarterly Data 2001-2025'!AP134:AT134)</f>
        <v>255.6</v>
      </c>
      <c r="M135" s="24">
        <f>+('Quarterly Data 2001-2025'!AT134+'Quarterly Data 2001-2025'!AU134+'Quarterly Data 2001-2025'!AV134+'Quarterly Data 2001-2025'!AW134+271)/5</f>
        <v>269.2</v>
      </c>
      <c r="N135" s="24">
        <f>+('Quarterly Data 2001-2025'!AX134+'Quarterly Data 2001-2025'!AY134+'Quarterly Data 2001-2025'!AZ134+'Quarterly Data 2001-2025'!BA134+'Quarterly Data 2001-2025'!BB134)/5</f>
        <v>266.60000000000002</v>
      </c>
      <c r="O135" s="24">
        <f>+('Quarterly Data 2001-2025'!BB134+'Quarterly Data 2001-2025'!BC134+'Quarterly Data 2001-2025'!BD134+'Quarterly Data 2001-2025'!BE134+'Quarterly Data 2001-2025'!BF134)/5</f>
        <v>282.60000000000002</v>
      </c>
      <c r="P135" s="24">
        <f>+('Quarterly Data 2001-2025'!BF134+'Quarterly Data 2001-2025'!BG134+'Quarterly Data 2001-2025'!BH134+'Quarterly Data 2001-2025'!BI134+'Quarterly Data 2001-2025'!BJ134)/5</f>
        <v>322.8</v>
      </c>
      <c r="Q135" s="24">
        <f>+('Quarterly Data 2001-2025'!BJ134+'Quarterly Data 2001-2025'!BK134+'Quarterly Data 2001-2025'!BL134+'Quarterly Data 2001-2025'!BM134+'Quarterly Data 2001-2025'!BN134)/5</f>
        <v>343.2</v>
      </c>
      <c r="R135" s="24">
        <f>+('Quarterly Data 2001-2025'!BN134+'Quarterly Data 2001-2025'!BO134+'Quarterly Data 2001-2025'!BP134+'Quarterly Data 2001-2025'!BQ134+'Quarterly Data 2001-2025'!BR134)/5</f>
        <v>382.6</v>
      </c>
      <c r="S135" s="24">
        <f>+('Quarterly Data 2001-2025'!BR134+'Quarterly Data 2001-2025'!BS134+'Quarterly Data 2001-2025'!BT134+'Quarterly Data 2001-2025'!BU134+'Quarterly Data 2001-2025'!BV134)/5</f>
        <v>406</v>
      </c>
      <c r="T135" s="24">
        <f>+('Quarterly Data 2001-2025'!BV134+'Quarterly Data 2001-2025'!BW134+'Quarterly Data 2001-2025'!BX134+'Quarterly Data 2001-2025'!BY134+'Quarterly Data 2001-2025'!BZ134)/5</f>
        <v>429.2</v>
      </c>
      <c r="U135" s="24">
        <f>+('Quarterly Data 2001-2025'!BZ134+'Quarterly Data 2001-2025'!CA134+'Quarterly Data 2001-2025'!CB134+'Quarterly Data 2001-2025'!CC134+'Quarterly Data 2001-2025'!CD134)/5</f>
        <v>477.8</v>
      </c>
      <c r="V135" s="24">
        <f>+AVERAGE('Quarterly Data 2001-2025'!CD134:CH134)</f>
        <v>560.20000000000005</v>
      </c>
      <c r="W135" s="24">
        <f>+AVERAGE('Quarterly Data 2001-2025'!CH134:CL134)</f>
        <v>622</v>
      </c>
      <c r="X135" s="24">
        <f>+AVERAGE('Quarterly Data 2001-2025'!CL134:CP134)</f>
        <v>654</v>
      </c>
      <c r="Y135" s="24">
        <f>+AVERAGE('Quarterly Data 2001-2025'!CP134:CT134)</f>
        <v>674</v>
      </c>
      <c r="Z135" s="50">
        <f>+((Y135/T135)^(1/5))-1</f>
        <v>9.4460360171973345E-2</v>
      </c>
      <c r="AA135" s="306"/>
    </row>
    <row r="136" spans="1:29" x14ac:dyDescent="0.2">
      <c r="A136" s="23" t="s">
        <v>85</v>
      </c>
      <c r="B136" s="55">
        <f t="shared" ref="B136:W136" si="45">+B31/B135</f>
        <v>1.4828125000000001</v>
      </c>
      <c r="C136" s="54">
        <f t="shared" si="45"/>
        <v>1.97741935483871</v>
      </c>
      <c r="D136" s="54">
        <f t="shared" si="45"/>
        <v>2.6703928571428572</v>
      </c>
      <c r="E136" s="54">
        <f t="shared" si="45"/>
        <v>2.8353513513513509</v>
      </c>
      <c r="F136" s="54">
        <f t="shared" si="45"/>
        <v>3.0521935483870966</v>
      </c>
      <c r="G136" s="54">
        <f t="shared" si="45"/>
        <v>3.5104108527131781</v>
      </c>
      <c r="H136" s="54">
        <f t="shared" si="45"/>
        <v>3.1150202528089888</v>
      </c>
      <c r="I136" s="54">
        <f t="shared" si="45"/>
        <v>2.582179270408163</v>
      </c>
      <c r="J136" s="54">
        <f t="shared" si="45"/>
        <v>2.7507191836756757</v>
      </c>
      <c r="K136" s="54">
        <f t="shared" si="45"/>
        <v>2.7302332161032026</v>
      </c>
      <c r="L136" s="54">
        <f t="shared" si="45"/>
        <v>2.6689679928794989</v>
      </c>
      <c r="M136" s="54">
        <f t="shared" si="45"/>
        <v>2.0454905830237742</v>
      </c>
      <c r="N136" s="54">
        <f t="shared" si="45"/>
        <v>2.1727440622655663</v>
      </c>
      <c r="O136" s="54">
        <f t="shared" si="45"/>
        <v>2.3993370336164186</v>
      </c>
      <c r="P136" s="54">
        <f t="shared" si="45"/>
        <v>2.7779151177199504</v>
      </c>
      <c r="Q136" s="54">
        <f t="shared" si="45"/>
        <v>2.6474441706002345</v>
      </c>
      <c r="R136" s="54">
        <f t="shared" si="45"/>
        <v>2.5495951482749617</v>
      </c>
      <c r="S136" s="54">
        <f t="shared" si="45"/>
        <v>2.5837360223645325</v>
      </c>
      <c r="T136" s="54">
        <f t="shared" si="45"/>
        <v>2.7806372996971067</v>
      </c>
      <c r="U136" s="54">
        <f t="shared" si="45"/>
        <v>4.9158226648541099</v>
      </c>
      <c r="V136" s="54">
        <f t="shared" si="45"/>
        <v>5.8933648208485563</v>
      </c>
      <c r="W136" s="54">
        <f t="shared" si="45"/>
        <v>4.7793718236816876</v>
      </c>
      <c r="X136" s="54">
        <f>+X31/X135</f>
        <v>5.2557559287024223</v>
      </c>
      <c r="Y136" s="54">
        <f>+Y31/Y135</f>
        <v>5.7860489526001579</v>
      </c>
      <c r="Z136" s="50">
        <f>+((Y136/T136)^(1/5))-1</f>
        <v>0.1578373414593317</v>
      </c>
    </row>
    <row r="137" spans="1:29" x14ac:dyDescent="0.2">
      <c r="A137" s="23" t="s">
        <v>86</v>
      </c>
      <c r="B137" s="54">
        <f t="shared" ref="B137:R137" si="46">B37/B135</f>
        <v>-1.3360515624999998</v>
      </c>
      <c r="C137" s="54">
        <f t="shared" si="46"/>
        <v>-1.5423225806451613</v>
      </c>
      <c r="D137" s="54">
        <f t="shared" si="46"/>
        <v>-1.6190535714285714</v>
      </c>
      <c r="E137" s="54">
        <f t="shared" si="46"/>
        <v>-1.4686216216216217</v>
      </c>
      <c r="F137" s="54">
        <f t="shared" si="46"/>
        <v>-1.4756344086021502</v>
      </c>
      <c r="G137" s="54">
        <f t="shared" si="46"/>
        <v>-1.619968992248062</v>
      </c>
      <c r="H137" s="54">
        <f t="shared" si="46"/>
        <v>-1.3855142923651687</v>
      </c>
      <c r="I137" s="54">
        <f t="shared" si="46"/>
        <v>-1.360257783283163</v>
      </c>
      <c r="J137" s="54">
        <f t="shared" si="46"/>
        <v>-1.2372028617207187</v>
      </c>
      <c r="K137" s="54">
        <f t="shared" si="46"/>
        <v>-1.2569092312237855</v>
      </c>
      <c r="L137" s="54">
        <f t="shared" si="46"/>
        <v>-1.3165727969483567</v>
      </c>
      <c r="M137" s="54">
        <f t="shared" si="46"/>
        <v>-1.2989670129633581</v>
      </c>
      <c r="N137" s="54">
        <f t="shared" si="46"/>
        <v>-1.3238559639909979</v>
      </c>
      <c r="O137" s="54">
        <f t="shared" si="46"/>
        <v>-1.3543524416135879</v>
      </c>
      <c r="P137" s="54">
        <f t="shared" si="46"/>
        <v>-1.2732342007434945</v>
      </c>
      <c r="Q137" s="54">
        <f t="shared" si="46"/>
        <v>-1.2913752913752914</v>
      </c>
      <c r="R137" s="54">
        <f t="shared" si="46"/>
        <v>-1.397804495556717</v>
      </c>
      <c r="S137" s="54">
        <f>(S37+35)/S135</f>
        <v>-1.4637936745007263</v>
      </c>
      <c r="T137" s="54">
        <f t="shared" ref="T137:Y137" si="47">T37/T135</f>
        <v>-1.5506106600802574</v>
      </c>
      <c r="U137" s="54">
        <f t="shared" si="47"/>
        <v>-1.5960503310572487</v>
      </c>
      <c r="V137" s="54">
        <f t="shared" si="47"/>
        <v>-1.5423754109651682</v>
      </c>
      <c r="W137" s="54">
        <f t="shared" si="47"/>
        <v>-1.6582640008157707</v>
      </c>
      <c r="X137" s="54">
        <f t="shared" si="47"/>
        <v>-1.7560702780637658</v>
      </c>
      <c r="Y137" s="54">
        <f t="shared" si="47"/>
        <v>-1.8985894681750739</v>
      </c>
      <c r="Z137" s="50">
        <f>+((Y137/T137)^(1/5))-1</f>
        <v>4.1323478443178407E-2</v>
      </c>
    </row>
    <row r="138" spans="1:29" s="198" customFormat="1" x14ac:dyDescent="0.2">
      <c r="A138" s="323" t="s">
        <v>87</v>
      </c>
      <c r="B138" s="55">
        <f t="shared" ref="B138:R138" si="48">+B43/B135</f>
        <v>0.1467609375000003</v>
      </c>
      <c r="C138" s="54">
        <f t="shared" si="48"/>
        <v>0.43348387096774238</v>
      </c>
      <c r="D138" s="54">
        <f t="shared" si="48"/>
        <v>1.0513392857142858</v>
      </c>
      <c r="E138" s="54">
        <f t="shared" si="48"/>
        <v>1.3667297297297294</v>
      </c>
      <c r="F138" s="54">
        <f t="shared" si="48"/>
        <v>1.5776344086021505</v>
      </c>
      <c r="G138" s="54">
        <f t="shared" si="48"/>
        <v>1.8904418604651161</v>
      </c>
      <c r="H138" s="54">
        <f t="shared" si="48"/>
        <v>1.72135989302809</v>
      </c>
      <c r="I138" s="54">
        <f t="shared" si="48"/>
        <v>1.2219214871249999</v>
      </c>
      <c r="J138" s="54">
        <f t="shared" si="48"/>
        <v>1.513516321954957</v>
      </c>
      <c r="K138" s="54">
        <f t="shared" si="48"/>
        <v>1.4733239848794173</v>
      </c>
      <c r="L138" s="54">
        <f t="shared" si="48"/>
        <v>1.3289210175273862</v>
      </c>
      <c r="M138" s="54">
        <f t="shared" si="48"/>
        <v>0.74280885980781575</v>
      </c>
      <c r="N138" s="54">
        <f t="shared" si="48"/>
        <v>0.84513716054013466</v>
      </c>
      <c r="O138" s="54">
        <f t="shared" si="48"/>
        <v>1.0464000201698513</v>
      </c>
      <c r="P138" s="54">
        <f t="shared" si="48"/>
        <v>1.5040128190830235</v>
      </c>
      <c r="Q138" s="54">
        <f t="shared" si="48"/>
        <v>1.3545974485722627</v>
      </c>
      <c r="R138" s="54">
        <f t="shared" si="48"/>
        <v>1.1528107468112925</v>
      </c>
      <c r="S138" s="54">
        <f>(S43+35)/S135</f>
        <v>1.1154710594401609</v>
      </c>
      <c r="T138" s="54">
        <f t="shared" ref="T138:Y138" si="49">T43/T135</f>
        <v>1.2115920026177813</v>
      </c>
      <c r="U138" s="54">
        <f t="shared" si="49"/>
        <v>3.2994715999542494</v>
      </c>
      <c r="V138" s="54">
        <f t="shared" si="49"/>
        <v>4.3505572214149835</v>
      </c>
      <c r="W138" s="54">
        <f t="shared" si="49"/>
        <v>3.1193705818048234</v>
      </c>
      <c r="X138" s="54">
        <f t="shared" si="49"/>
        <v>3.5049138839872804</v>
      </c>
      <c r="Y138" s="54">
        <f t="shared" si="49"/>
        <v>3.8881357185793863</v>
      </c>
      <c r="Z138" s="50">
        <f>+((Y138/T138)^(1/5))-1</f>
        <v>0.2626326156023171</v>
      </c>
    </row>
    <row r="139" spans="1:29" x14ac:dyDescent="0.2">
      <c r="A139" s="6"/>
      <c r="B139" s="91"/>
      <c r="C139" s="90"/>
      <c r="D139" s="90"/>
      <c r="E139" s="90"/>
      <c r="F139" s="90"/>
      <c r="G139" s="90"/>
      <c r="H139" s="90"/>
      <c r="I139" s="90"/>
      <c r="J139" s="90"/>
      <c r="K139" s="90"/>
      <c r="L139" s="90"/>
      <c r="M139" s="90"/>
      <c r="N139" s="90"/>
      <c r="O139" s="90"/>
      <c r="P139" s="92"/>
      <c r="Q139" s="93"/>
      <c r="R139" s="93"/>
      <c r="S139" s="93"/>
      <c r="T139" s="93"/>
      <c r="U139" s="93"/>
      <c r="V139" s="93"/>
      <c r="W139" s="93"/>
      <c r="X139" s="93"/>
      <c r="Y139" s="93"/>
      <c r="Z139" s="394"/>
    </row>
    <row r="140" spans="1:29" x14ac:dyDescent="0.2">
      <c r="A140" s="135" t="s">
        <v>125</v>
      </c>
      <c r="B140" s="41"/>
      <c r="C140" s="14"/>
      <c r="D140" s="14"/>
      <c r="E140" s="14"/>
      <c r="F140" s="14"/>
      <c r="G140" s="14"/>
      <c r="H140" s="14"/>
      <c r="I140" s="14"/>
      <c r="J140" s="14"/>
      <c r="K140" s="14"/>
      <c r="L140" s="14"/>
      <c r="M140" s="14"/>
      <c r="N140" s="14"/>
      <c r="O140" s="14"/>
      <c r="P140" s="56"/>
      <c r="Q140" s="62"/>
      <c r="R140" s="62"/>
      <c r="S140" s="62"/>
      <c r="T140" s="62"/>
      <c r="U140" s="62"/>
      <c r="V140" s="62"/>
      <c r="W140" s="62"/>
      <c r="X140" s="62"/>
      <c r="Y140" s="62"/>
      <c r="Z140" s="17"/>
    </row>
    <row r="141" spans="1:29" s="322" customFormat="1" ht="15" x14ac:dyDescent="0.2">
      <c r="A141" s="321" t="s">
        <v>208</v>
      </c>
      <c r="B141" s="55">
        <f>'Quarterly Data 2001-2025'!F141</f>
        <v>3</v>
      </c>
      <c r="C141" s="54">
        <f>'Quarterly Data 2001-2025'!J141</f>
        <v>2.7</v>
      </c>
      <c r="D141" s="54">
        <f>'Quarterly Data 2001-2025'!N141</f>
        <v>5.66</v>
      </c>
      <c r="E141" s="54">
        <f>'Quarterly Data 2001-2025'!R141</f>
        <v>8.5</v>
      </c>
      <c r="F141" s="54">
        <f>'Quarterly Data 2001-2025'!V141</f>
        <v>19.8</v>
      </c>
      <c r="G141" s="54">
        <f>'Quarterly Data 2001-2025'!Z141</f>
        <v>24.65</v>
      </c>
      <c r="H141" s="54">
        <f>'Quarterly Data 2001-2025'!AD141</f>
        <v>27.1</v>
      </c>
      <c r="I141" s="54">
        <f>'Quarterly Data 2001-2025'!AH141</f>
        <v>14.2</v>
      </c>
      <c r="J141" s="54">
        <f>'Quarterly Data 2001-2025'!AL141</f>
        <v>33.700000000000003</v>
      </c>
      <c r="K141" s="54">
        <f>'Quarterly Data 2001-2025'!AP141</f>
        <v>46.8</v>
      </c>
      <c r="L141" s="54">
        <f>'Quarterly Data 2001-2025'!AT141</f>
        <v>32.9</v>
      </c>
      <c r="M141" s="54">
        <f>+'Quarterly Data 2001-2025'!AX141</f>
        <v>26.3</v>
      </c>
      <c r="N141" s="54">
        <f>+'Quarterly Data 2001-2025'!BB141</f>
        <v>41.8</v>
      </c>
      <c r="O141" s="54">
        <f>+'Quarterly Data 2001-2025'!BF141</f>
        <v>51.6</v>
      </c>
      <c r="P141" s="54">
        <f>+'Quarterly Data 2001-2025'!BJ141</f>
        <v>73.5</v>
      </c>
      <c r="Q141" s="54">
        <f>+'Quarterly Data 2001-2025'!BN141</f>
        <v>73.8</v>
      </c>
      <c r="R141" s="54">
        <f>+'Quarterly Data 2001-2025'!BR141</f>
        <v>68.820000000000007</v>
      </c>
      <c r="S141" s="54">
        <f>+'Quarterly Data 2001-2025'!BV141</f>
        <v>84.72</v>
      </c>
      <c r="T141" s="54">
        <f>+'Quarterly Data 2001-2025'!BZ141</f>
        <v>97.8</v>
      </c>
      <c r="U141" s="54">
        <f>+'Quarterly Data 2001-2025'!CD141</f>
        <v>233</v>
      </c>
      <c r="V141" s="54">
        <f>+'Quarterly Data 2001-2025'!CH141</f>
        <v>332.2</v>
      </c>
      <c r="W141" s="54">
        <f>+'Quarterly Data 2001-2025'!CL141</f>
        <v>223.6</v>
      </c>
      <c r="X141" s="54">
        <f>+'Quarterly Data 2001-2025'!CP141</f>
        <v>233.5</v>
      </c>
      <c r="Y141" s="54">
        <f>+'Quarterly Data 2001-2025'!CT141</f>
        <v>272.89999999999998</v>
      </c>
      <c r="Z141" s="50">
        <f t="shared" ref="Z141:Z150" si="50">+((Y141/T141)^(1/5))-1</f>
        <v>0.22781500395924104</v>
      </c>
    </row>
    <row r="142" spans="1:29" x14ac:dyDescent="0.2">
      <c r="A142" s="23" t="s">
        <v>88</v>
      </c>
      <c r="B142" s="26">
        <f t="shared" ref="B142:W142" si="51">+B141*B148/1000000</f>
        <v>399.34311000000002</v>
      </c>
      <c r="C142" s="24">
        <f t="shared" si="51"/>
        <v>359.40879899999999</v>
      </c>
      <c r="D142" s="24">
        <f t="shared" si="51"/>
        <v>753.42733420000002</v>
      </c>
      <c r="E142" s="24">
        <f t="shared" si="51"/>
        <v>1131.472145</v>
      </c>
      <c r="F142" s="24">
        <f t="shared" si="51"/>
        <v>2719.1017259999999</v>
      </c>
      <c r="G142" s="24">
        <f t="shared" si="51"/>
        <v>3385.1443205</v>
      </c>
      <c r="H142" s="24">
        <f t="shared" si="51"/>
        <v>3680.18</v>
      </c>
      <c r="I142" s="24">
        <f t="shared" si="51"/>
        <v>1958.0103099999999</v>
      </c>
      <c r="J142" s="24">
        <f t="shared" si="51"/>
        <v>4646.8272850000003</v>
      </c>
      <c r="K142" s="24">
        <f t="shared" si="51"/>
        <v>6542.0479800000003</v>
      </c>
      <c r="L142" s="24">
        <f t="shared" si="51"/>
        <v>4649.1893104999999</v>
      </c>
      <c r="M142" s="24">
        <f t="shared" si="51"/>
        <v>3796.8977304999999</v>
      </c>
      <c r="N142" s="24">
        <f t="shared" si="51"/>
        <v>6034.6131230000001</v>
      </c>
      <c r="O142" s="24">
        <f t="shared" si="51"/>
        <v>7449.4267259999997</v>
      </c>
      <c r="P142" s="24">
        <f t="shared" si="51"/>
        <v>10783.95234</v>
      </c>
      <c r="Q142" s="24">
        <f t="shared" si="51"/>
        <v>11010.562217999999</v>
      </c>
      <c r="R142" s="24">
        <f t="shared" si="51"/>
        <v>10321.699990200001</v>
      </c>
      <c r="S142" s="24">
        <f t="shared" si="51"/>
        <v>12823.6411056</v>
      </c>
      <c r="T142" s="24">
        <f t="shared" si="51"/>
        <v>15040.302291600001</v>
      </c>
      <c r="U142" s="24">
        <f t="shared" si="51"/>
        <v>36104.284330000002</v>
      </c>
      <c r="V142" s="24">
        <f t="shared" si="51"/>
        <v>51680.938007600002</v>
      </c>
      <c r="W142" s="24">
        <f t="shared" si="51"/>
        <v>35020.0144372</v>
      </c>
      <c r="X142" s="24">
        <f>+X141*X148/1000000</f>
        <v>36714.827591499998</v>
      </c>
      <c r="Y142" s="24">
        <f>+Y141*Y148/1000000</f>
        <v>42909.963382099995</v>
      </c>
      <c r="Z142" s="50">
        <f t="shared" si="50"/>
        <v>0.23327610139191202</v>
      </c>
    </row>
    <row r="143" spans="1:29" ht="15" x14ac:dyDescent="0.2">
      <c r="A143" s="23" t="s">
        <v>232</v>
      </c>
      <c r="B143" s="26" t="s">
        <v>34</v>
      </c>
      <c r="C143" s="24" t="s">
        <v>34</v>
      </c>
      <c r="D143" s="51">
        <v>0.2</v>
      </c>
      <c r="E143" s="51">
        <v>0.3</v>
      </c>
      <c r="F143" s="51">
        <v>0.4</v>
      </c>
      <c r="G143" s="51">
        <v>0.8</v>
      </c>
      <c r="H143" s="51">
        <v>1.2</v>
      </c>
      <c r="I143" s="51">
        <v>1.2</v>
      </c>
      <c r="J143" s="51">
        <v>1.6</v>
      </c>
      <c r="K143" s="51">
        <v>1.9</v>
      </c>
      <c r="L143" s="51">
        <v>2</v>
      </c>
      <c r="M143" s="51">
        <v>1.6</v>
      </c>
      <c r="N143" s="51">
        <v>1.6</v>
      </c>
      <c r="O143" s="51">
        <v>1.4</v>
      </c>
      <c r="P143" s="52">
        <v>2.1</v>
      </c>
      <c r="Q143" s="52">
        <v>2.1</v>
      </c>
      <c r="R143" s="52">
        <v>2.1</v>
      </c>
      <c r="S143" s="52">
        <v>2.1</v>
      </c>
      <c r="T143" s="52">
        <v>2.2999999999999998</v>
      </c>
      <c r="U143" s="52">
        <f>0.85+2.95</f>
        <v>3.8000000000000003</v>
      </c>
      <c r="V143" s="52">
        <v>9.1999999999999993</v>
      </c>
      <c r="W143" s="52">
        <v>7.5</v>
      </c>
      <c r="X143" s="52">
        <v>11.5</v>
      </c>
      <c r="Y143" s="52"/>
      <c r="Z143" s="50">
        <f t="shared" si="50"/>
        <v>-1</v>
      </c>
      <c r="AA143" s="212"/>
      <c r="AC143" s="332"/>
    </row>
    <row r="144" spans="1:29" x14ac:dyDescent="0.2">
      <c r="A144" s="23" t="s">
        <v>33</v>
      </c>
      <c r="B144" s="68" t="s">
        <v>34</v>
      </c>
      <c r="C144" s="67" t="s">
        <v>34</v>
      </c>
      <c r="D144" s="67">
        <f t="shared" ref="D144:U144" si="52">+D143/D141</f>
        <v>3.5335689045936397E-2</v>
      </c>
      <c r="E144" s="67">
        <f t="shared" si="52"/>
        <v>3.5294117647058823E-2</v>
      </c>
      <c r="F144" s="67">
        <f t="shared" si="52"/>
        <v>2.0202020202020204E-2</v>
      </c>
      <c r="G144" s="67">
        <f t="shared" si="52"/>
        <v>3.2454361054766741E-2</v>
      </c>
      <c r="H144" s="67">
        <f t="shared" si="52"/>
        <v>4.4280442804428041E-2</v>
      </c>
      <c r="I144" s="67">
        <f t="shared" si="52"/>
        <v>8.4507042253521125E-2</v>
      </c>
      <c r="J144" s="67">
        <f t="shared" si="52"/>
        <v>4.7477744807121663E-2</v>
      </c>
      <c r="K144" s="67">
        <f t="shared" si="52"/>
        <v>4.05982905982906E-2</v>
      </c>
      <c r="L144" s="67">
        <f t="shared" si="52"/>
        <v>6.0790273556231005E-2</v>
      </c>
      <c r="M144" s="67">
        <f t="shared" si="52"/>
        <v>6.0836501901140684E-2</v>
      </c>
      <c r="N144" s="67">
        <f t="shared" si="52"/>
        <v>3.8277511961722493E-2</v>
      </c>
      <c r="O144" s="67">
        <f t="shared" si="52"/>
        <v>2.713178294573643E-2</v>
      </c>
      <c r="P144" s="67">
        <f t="shared" si="52"/>
        <v>2.8571428571428574E-2</v>
      </c>
      <c r="Q144" s="67">
        <f t="shared" si="52"/>
        <v>2.8455284552845531E-2</v>
      </c>
      <c r="R144" s="67">
        <f t="shared" si="52"/>
        <v>3.0514385353095027E-2</v>
      </c>
      <c r="S144" s="67">
        <f t="shared" si="52"/>
        <v>2.4787535410764873E-2</v>
      </c>
      <c r="T144" s="67">
        <f t="shared" si="52"/>
        <v>2.3517382413087932E-2</v>
      </c>
      <c r="U144" s="67">
        <f t="shared" si="52"/>
        <v>1.6309012875536481E-2</v>
      </c>
      <c r="V144" s="67">
        <f>+V143/V141</f>
        <v>2.7694160144491269E-2</v>
      </c>
      <c r="W144" s="67">
        <f>+W143/W141</f>
        <v>3.3542039355992842E-2</v>
      </c>
      <c r="X144" s="67">
        <f>+X143/X141</f>
        <v>4.9250535331905779E-2</v>
      </c>
      <c r="Y144" s="67">
        <f>+Y143/Y141</f>
        <v>0</v>
      </c>
      <c r="Z144" s="50">
        <f t="shared" si="50"/>
        <v>-1</v>
      </c>
    </row>
    <row r="145" spans="1:27" x14ac:dyDescent="0.2">
      <c r="A145" s="6" t="s">
        <v>46</v>
      </c>
      <c r="B145" s="41">
        <f t="shared" ref="B145:Y145" si="53">B142/B47</f>
        <v>59.050454963251454</v>
      </c>
      <c r="C145" s="14">
        <f t="shared" si="53"/>
        <v>18.57340703601724</v>
      </c>
      <c r="D145" s="14">
        <f t="shared" si="53"/>
        <v>17.773704510497758</v>
      </c>
      <c r="E145" s="14">
        <f t="shared" si="53"/>
        <v>15.53806769243784</v>
      </c>
      <c r="F145" s="14">
        <f t="shared" si="53"/>
        <v>25.661586693091731</v>
      </c>
      <c r="G145" s="14">
        <f t="shared" si="53"/>
        <v>17.999672034434543</v>
      </c>
      <c r="H145" s="14">
        <f t="shared" si="53"/>
        <v>15.862703912144859</v>
      </c>
      <c r="I145" s="14">
        <f t="shared" si="53"/>
        <v>10.555504461320332</v>
      </c>
      <c r="J145" s="14">
        <f t="shared" si="53"/>
        <v>20.362912818628708</v>
      </c>
      <c r="K145" s="14">
        <f t="shared" si="53"/>
        <v>24.12230833887304</v>
      </c>
      <c r="L145" s="14">
        <f t="shared" si="53"/>
        <v>16.049828449599492</v>
      </c>
      <c r="M145" s="14">
        <f t="shared" si="53"/>
        <v>23.885246129311607</v>
      </c>
      <c r="N145" s="14">
        <f t="shared" si="53"/>
        <v>31.379029660450335</v>
      </c>
      <c r="O145" s="14">
        <f t="shared" si="53"/>
        <v>29.847534892126514</v>
      </c>
      <c r="P145" s="14">
        <f t="shared" si="53"/>
        <v>25.935722107591307</v>
      </c>
      <c r="Q145" s="14">
        <f t="shared" si="53"/>
        <v>27.602461066044576</v>
      </c>
      <c r="R145" s="14">
        <f t="shared" si="53"/>
        <v>27.301361658544391</v>
      </c>
      <c r="S145" s="14">
        <f t="shared" si="53"/>
        <v>36.735066685723353</v>
      </c>
      <c r="T145" s="14">
        <f t="shared" si="53"/>
        <v>33.652297414211667</v>
      </c>
      <c r="U145" s="14">
        <f t="shared" si="53"/>
        <v>27.05245146474503</v>
      </c>
      <c r="V145" s="14">
        <f t="shared" si="53"/>
        <v>25.250804791167194</v>
      </c>
      <c r="W145" s="14">
        <f t="shared" si="53"/>
        <v>21.017054688519114</v>
      </c>
      <c r="X145" s="14">
        <f t="shared" si="53"/>
        <v>18.523032745239274</v>
      </c>
      <c r="Y145" s="14">
        <f t="shared" si="53"/>
        <v>19.040600474313646</v>
      </c>
      <c r="Z145" s="61">
        <f t="shared" si="50"/>
        <v>-0.10765419899698625</v>
      </c>
    </row>
    <row r="146" spans="1:27" x14ac:dyDescent="0.2">
      <c r="A146" s="23" t="s">
        <v>35</v>
      </c>
      <c r="B146" s="66">
        <f t="shared" ref="B146:Y146" si="54">+B142/B60</f>
        <v>2.2409826599326603</v>
      </c>
      <c r="C146" s="65">
        <f t="shared" si="54"/>
        <v>1.8719208281249999</v>
      </c>
      <c r="D146" s="65">
        <f t="shared" si="54"/>
        <v>3.3001635313184408</v>
      </c>
      <c r="E146" s="65">
        <f t="shared" si="54"/>
        <v>4.2377233895131088</v>
      </c>
      <c r="F146" s="65">
        <f t="shared" si="54"/>
        <v>7.6875932315521629</v>
      </c>
      <c r="G146" s="65">
        <f t="shared" si="54"/>
        <v>6.9254180042962359</v>
      </c>
      <c r="H146" s="65">
        <f t="shared" si="54"/>
        <v>6.4226527050610818</v>
      </c>
      <c r="I146" s="65">
        <f t="shared" si="54"/>
        <v>3.1178508121019108</v>
      </c>
      <c r="J146" s="65">
        <f t="shared" si="54"/>
        <v>6.7053784776334782</v>
      </c>
      <c r="K146" s="65">
        <f t="shared" si="54"/>
        <v>8.0467994833948335</v>
      </c>
      <c r="L146" s="65">
        <f t="shared" si="54"/>
        <v>5.3111740432507766</v>
      </c>
      <c r="M146" s="65">
        <f t="shared" si="54"/>
        <v>4.5856252783816425</v>
      </c>
      <c r="N146" s="65">
        <f t="shared" si="54"/>
        <v>7.6002684168765748</v>
      </c>
      <c r="O146" s="65">
        <f t="shared" si="54"/>
        <v>9.1404008907975456</v>
      </c>
      <c r="P146" s="65">
        <f t="shared" si="54"/>
        <v>9.5772223268206034</v>
      </c>
      <c r="Q146" s="65">
        <f t="shared" si="54"/>
        <v>8.4178610229357798</v>
      </c>
      <c r="R146" s="65">
        <f t="shared" si="54"/>
        <v>7.2331464542396642</v>
      </c>
      <c r="S146" s="65">
        <f t="shared" si="54"/>
        <v>7.9437614068207143</v>
      </c>
      <c r="T146" s="65">
        <f t="shared" si="54"/>
        <v>7.7315413276116542</v>
      </c>
      <c r="U146" s="65">
        <f t="shared" si="54"/>
        <v>11.381645236005712</v>
      </c>
      <c r="V146" s="65">
        <f t="shared" si="54"/>
        <v>10.995828282947869</v>
      </c>
      <c r="W146" s="65">
        <f t="shared" si="54"/>
        <v>7.0736571124544962</v>
      </c>
      <c r="X146" s="65">
        <f t="shared" si="54"/>
        <v>6.2948799551684687</v>
      </c>
      <c r="Y146" s="65">
        <f t="shared" si="54"/>
        <v>6.7900163095988297</v>
      </c>
      <c r="Z146" s="50">
        <f t="shared" si="50"/>
        <v>-2.5636633744529957E-2</v>
      </c>
    </row>
    <row r="147" spans="1:27" x14ac:dyDescent="0.2">
      <c r="A147" s="18" t="s">
        <v>47</v>
      </c>
      <c r="B147" s="108">
        <f t="shared" ref="B147:Y147" si="55">B142/B88</f>
        <v>4.6508794139569556E-2</v>
      </c>
      <c r="C147" s="94">
        <f t="shared" si="55"/>
        <v>5.3120619429787609E-2</v>
      </c>
      <c r="D147" s="94">
        <f t="shared" si="55"/>
        <v>6.5485809390536456E-2</v>
      </c>
      <c r="E147" s="94">
        <f t="shared" si="55"/>
        <v>6.5395453993757943E-2</v>
      </c>
      <c r="F147" s="94">
        <f t="shared" si="55"/>
        <v>8.5319874048855479E-2</v>
      </c>
      <c r="G147" s="94">
        <f t="shared" si="55"/>
        <v>7.4358410280572967E-2</v>
      </c>
      <c r="H147" s="94">
        <f t="shared" si="55"/>
        <v>7.6371295758280069E-2</v>
      </c>
      <c r="I147" s="94">
        <f t="shared" si="55"/>
        <v>5.4537483905538454E-2</v>
      </c>
      <c r="J147" s="94">
        <f t="shared" si="55"/>
        <v>7.2129942489483581E-2</v>
      </c>
      <c r="K147" s="94">
        <f t="shared" si="55"/>
        <v>7.6168636030225056E-2</v>
      </c>
      <c r="L147" s="94">
        <f t="shared" si="55"/>
        <v>6.0550510673074417E-2</v>
      </c>
      <c r="M147" s="94">
        <f t="shared" si="55"/>
        <v>4.2821027986105625E-2</v>
      </c>
      <c r="N147" s="94">
        <f t="shared" si="55"/>
        <v>5.2093931535466716E-2</v>
      </c>
      <c r="O147" s="94">
        <f t="shared" si="55"/>
        <v>5.0581499202378422E-2</v>
      </c>
      <c r="P147" s="94">
        <f t="shared" si="55"/>
        <v>5.4412413224062275E-2</v>
      </c>
      <c r="Q147" s="94">
        <f t="shared" si="55"/>
        <v>4.604136493759016E-2</v>
      </c>
      <c r="R147" s="94">
        <f t="shared" si="55"/>
        <v>3.6481332214552631E-2</v>
      </c>
      <c r="S147" s="94">
        <f t="shared" si="55"/>
        <v>4.2748419445560605E-2</v>
      </c>
      <c r="T147" s="94">
        <f t="shared" si="55"/>
        <v>3.6888917348488003E-2</v>
      </c>
      <c r="U147" s="94">
        <f t="shared" si="55"/>
        <v>6.328432201287118E-2</v>
      </c>
      <c r="V147" s="94">
        <f t="shared" si="55"/>
        <v>6.383519537196912E-2</v>
      </c>
      <c r="W147" s="94">
        <f t="shared" si="55"/>
        <v>5.2752556496061566E-2</v>
      </c>
      <c r="X147" s="94">
        <f t="shared" si="55"/>
        <v>4.6967786081585694E-2</v>
      </c>
      <c r="Y147" s="94">
        <f t="shared" si="55"/>
        <v>4.4933709626734195E-2</v>
      </c>
      <c r="Z147" s="368">
        <f t="shared" si="50"/>
        <v>4.0244128175141558E-2</v>
      </c>
    </row>
    <row r="148" spans="1:27" ht="15" x14ac:dyDescent="0.2">
      <c r="A148" s="18" t="s">
        <v>209</v>
      </c>
      <c r="B148" s="43">
        <f>'Quarterly Data 2001-2025'!F146</f>
        <v>133114370</v>
      </c>
      <c r="C148" s="19">
        <f>'Quarterly Data 2001-2025'!J146</f>
        <v>133114370</v>
      </c>
      <c r="D148" s="19">
        <f>'Quarterly Data 2001-2025'!N146</f>
        <v>133114370</v>
      </c>
      <c r="E148" s="19">
        <f>'Quarterly Data 2001-2025'!R146</f>
        <v>133114370</v>
      </c>
      <c r="F148" s="19">
        <f>'Quarterly Data 2001-2025'!V146</f>
        <v>137328370</v>
      </c>
      <c r="G148" s="19">
        <f>'Quarterly Data 2001-2025'!Z146</f>
        <v>137328370</v>
      </c>
      <c r="H148" s="19">
        <f>'Quarterly Data 2001-2025'!AD146</f>
        <v>135800000</v>
      </c>
      <c r="I148" s="19">
        <f>'Quarterly Data 2001-2025'!AH146</f>
        <v>137888050</v>
      </c>
      <c r="J148" s="19">
        <f>'Quarterly Data 2001-2025'!AL146</f>
        <v>137888050</v>
      </c>
      <c r="K148" s="19">
        <f>'Quarterly Data 2001-2025'!AP146</f>
        <v>139787350</v>
      </c>
      <c r="L148" s="19">
        <f>'Quarterly Data 2001-2025'!AT146</f>
        <v>141312745</v>
      </c>
      <c r="M148" s="19">
        <f>'Quarterly Data 2001-2025'!AX146</f>
        <v>144368735</v>
      </c>
      <c r="N148" s="19">
        <f>'Quarterly Data 2001-2025'!BB146</f>
        <v>144368735</v>
      </c>
      <c r="O148" s="19">
        <f>'Quarterly Data 2001-2025'!BF146</f>
        <v>144368735</v>
      </c>
      <c r="P148" s="19">
        <f>'Quarterly Data 2001-2025'!BJ146</f>
        <v>146720440</v>
      </c>
      <c r="Q148" s="19">
        <f>'Quarterly Data 2001-2025'!BN146</f>
        <v>149194610</v>
      </c>
      <c r="R148" s="19">
        <f>'Quarterly Data 2001-2025'!BR146</f>
        <v>149981110</v>
      </c>
      <c r="S148" s="19">
        <f>+'Quarterly Data 2001-2025'!BV146</f>
        <v>151364980</v>
      </c>
      <c r="T148" s="19">
        <f>+'Quarterly Data 2001-2025'!BZ146</f>
        <v>153786322</v>
      </c>
      <c r="U148" s="19">
        <f>+'Quarterly Data 2001-2025'!CD146</f>
        <v>154954010</v>
      </c>
      <c r="V148" s="19">
        <f>+'Quarterly Data 2001-2025'!CH146</f>
        <v>155571758</v>
      </c>
      <c r="W148" s="19">
        <f>+'Quarterly Data 2001-2025'!CL146</f>
        <v>156619027</v>
      </c>
      <c r="X148" s="19">
        <f>+'Quarterly Data 2001-2025'!CP146</f>
        <v>157236949</v>
      </c>
      <c r="Y148" s="19">
        <f>+'Quarterly Data 2001-2025'!CT146</f>
        <v>157236949</v>
      </c>
      <c r="Z148" s="399">
        <f t="shared" si="50"/>
        <v>4.4478178024058845E-3</v>
      </c>
    </row>
    <row r="149" spans="1:27" ht="15" x14ac:dyDescent="0.2">
      <c r="A149" s="23" t="s">
        <v>210</v>
      </c>
      <c r="B149" s="26">
        <v>114485675</v>
      </c>
      <c r="C149" s="24">
        <v>133114370</v>
      </c>
      <c r="D149" s="24">
        <v>133114370</v>
      </c>
      <c r="E149" s="24">
        <v>133114370</v>
      </c>
      <c r="F149" s="24">
        <v>136485570</v>
      </c>
      <c r="G149" s="24">
        <v>137328370</v>
      </c>
      <c r="H149" s="24">
        <v>137025000</v>
      </c>
      <c r="I149" s="24">
        <v>136755000</v>
      </c>
      <c r="J149" s="24">
        <v>137888050</v>
      </c>
      <c r="K149" s="24">
        <v>138693105</v>
      </c>
      <c r="L149" s="24">
        <v>141315275</v>
      </c>
      <c r="M149" s="24">
        <v>143327193.03278688</v>
      </c>
      <c r="N149" s="19">
        <v>144368735</v>
      </c>
      <c r="O149" s="19">
        <v>144368735</v>
      </c>
      <c r="P149" s="19">
        <v>145858796.13698629</v>
      </c>
      <c r="Q149" s="19">
        <v>148300714.97267759</v>
      </c>
      <c r="R149" s="19">
        <v>149448718.35616437</v>
      </c>
      <c r="S149" s="20">
        <v>150432154.63013697</v>
      </c>
      <c r="T149" s="20">
        <v>152114600.94794521</v>
      </c>
      <c r="U149" s="20">
        <v>154150028.09836066</v>
      </c>
      <c r="V149" s="20">
        <v>155150335.39178082</v>
      </c>
      <c r="W149" s="20">
        <v>155916065.61643836</v>
      </c>
      <c r="X149" s="20">
        <v>156753717.29041097</v>
      </c>
      <c r="Y149" s="20">
        <v>157236949</v>
      </c>
      <c r="Z149" s="368">
        <f t="shared" si="50"/>
        <v>6.6459281258337555E-3</v>
      </c>
      <c r="AA149" s="212"/>
    </row>
    <row r="150" spans="1:27" s="198" customFormat="1" ht="15" x14ac:dyDescent="0.2">
      <c r="A150" s="323" t="s">
        <v>211</v>
      </c>
      <c r="B150" s="26">
        <v>114735050</v>
      </c>
      <c r="C150" s="24">
        <v>133517520</v>
      </c>
      <c r="D150" s="24">
        <v>134011870</v>
      </c>
      <c r="E150" s="24">
        <v>135541415</v>
      </c>
      <c r="F150" s="24">
        <v>137204960</v>
      </c>
      <c r="G150" s="24">
        <v>138185545</v>
      </c>
      <c r="H150" s="24">
        <v>138050000</v>
      </c>
      <c r="I150" s="24">
        <v>137405000</v>
      </c>
      <c r="J150" s="24">
        <v>138275000</v>
      </c>
      <c r="K150" s="24">
        <v>140886075</v>
      </c>
      <c r="L150" s="24">
        <v>142364460</v>
      </c>
      <c r="M150" s="24">
        <v>143327193.03278688</v>
      </c>
      <c r="N150" s="24">
        <v>144368735</v>
      </c>
      <c r="O150" s="24">
        <v>145696417.55459028</v>
      </c>
      <c r="P150" s="24">
        <v>147206402.84316832</v>
      </c>
      <c r="Q150" s="24">
        <v>148408693.52709058</v>
      </c>
      <c r="R150" s="24">
        <v>149448718.35616437</v>
      </c>
      <c r="S150" s="24">
        <v>150827418.5019708</v>
      </c>
      <c r="T150" s="24">
        <v>152114600.94794521</v>
      </c>
      <c r="U150" s="24">
        <v>155581076.79044038</v>
      </c>
      <c r="V150" s="24">
        <v>157456452.79261798</v>
      </c>
      <c r="W150" s="24">
        <v>156208549.8116627</v>
      </c>
      <c r="X150" s="24">
        <v>156837612.12229794</v>
      </c>
      <c r="Y150" s="25">
        <v>157386209.99972904</v>
      </c>
      <c r="Z150" s="368">
        <f t="shared" si="50"/>
        <v>6.8369722264933763E-3</v>
      </c>
    </row>
    <row r="151" spans="1:27" s="188" customFormat="1" x14ac:dyDescent="0.2">
      <c r="A151" s="36"/>
      <c r="B151" s="109"/>
      <c r="C151" s="9"/>
      <c r="D151" s="9"/>
      <c r="E151" s="9"/>
      <c r="F151" s="9"/>
      <c r="G151" s="9"/>
      <c r="H151" s="9"/>
      <c r="I151" s="9"/>
      <c r="J151" s="9"/>
      <c r="K151" s="9"/>
      <c r="L151" s="9"/>
      <c r="M151" s="9"/>
      <c r="N151" s="9"/>
      <c r="O151" s="9"/>
      <c r="P151" s="110"/>
      <c r="Q151" s="110"/>
      <c r="R151" s="110"/>
      <c r="S151" s="110"/>
      <c r="T151" s="110"/>
      <c r="U151" s="110"/>
      <c r="V151" s="110"/>
      <c r="W151" s="110"/>
      <c r="X151" s="110"/>
      <c r="Y151" s="110"/>
      <c r="Z151" s="397"/>
    </row>
    <row r="152" spans="1:27" x14ac:dyDescent="0.2">
      <c r="A152" s="135" t="s">
        <v>126</v>
      </c>
      <c r="B152" s="96"/>
      <c r="C152" s="95"/>
      <c r="D152" s="95"/>
      <c r="E152" s="95"/>
      <c r="F152" s="95"/>
      <c r="G152" s="95"/>
      <c r="H152" s="95"/>
      <c r="I152" s="95"/>
      <c r="J152" s="95"/>
      <c r="K152" s="95"/>
      <c r="L152" s="95"/>
      <c r="M152" s="95"/>
      <c r="N152" s="95"/>
      <c r="O152" s="95"/>
      <c r="P152" s="97"/>
      <c r="Q152" s="97"/>
      <c r="R152" s="97"/>
      <c r="S152" s="111"/>
      <c r="T152" s="110"/>
      <c r="U152" s="110"/>
      <c r="V152" s="110"/>
      <c r="W152" s="110"/>
      <c r="X152" s="110"/>
      <c r="Y152" s="110"/>
      <c r="Z152" s="397"/>
    </row>
    <row r="153" spans="1:27" x14ac:dyDescent="0.2">
      <c r="A153" s="23" t="s">
        <v>131</v>
      </c>
      <c r="B153" s="68">
        <f>SUM('Quarterly Data 2001-2025'!C151:F151)/4</f>
        <v>5.5449999999999999E-2</v>
      </c>
      <c r="C153" s="67">
        <f>SUM('Quarterly Data 2001-2025'!G151:J151)/4</f>
        <v>5.1850000000000007E-2</v>
      </c>
      <c r="D153" s="67">
        <f>SUM('Quarterly Data 2001-2025'!K151:N151)/4</f>
        <v>6.7824999999999996E-2</v>
      </c>
      <c r="E153" s="67">
        <f>SUM('Quarterly Data 2001-2025'!O151:R151)/4</f>
        <v>8.3374999999999991E-2</v>
      </c>
      <c r="F153" s="67">
        <f>SUM('Quarterly Data 2001-2025'!S151:V151)/4</f>
        <v>9.4799999999999995E-2</v>
      </c>
      <c r="G153" s="67">
        <f>SUM('Quarterly Data 2001-2025'!W151:Z151)/4</f>
        <v>0.10010000000000001</v>
      </c>
      <c r="H153" s="67">
        <f>SUM('Quarterly Data 2001-2025'!AA151:AD151)/4</f>
        <v>8.4750000000000006E-2</v>
      </c>
      <c r="I153" s="67">
        <f>SUM('Quarterly Data 2001-2025'!AE151:AH151)/4</f>
        <v>8.9749999999999996E-2</v>
      </c>
      <c r="J153" s="67">
        <f>SUM('Quarterly Data 2001-2025'!AI151:AL151)/4</f>
        <v>0.11674999999999999</v>
      </c>
      <c r="K153" s="67">
        <f>SUM('Quarterly Data 2001-2025'!AM151:AP151)/4</f>
        <v>9.1249999999999998E-2</v>
      </c>
      <c r="L153" s="67">
        <f>SUM('Quarterly Data 2001-2025'!AQ151:AT151)/4</f>
        <v>7.0999999999999994E-2</v>
      </c>
      <c r="M153" s="67">
        <f>SUM('Quarterly Data 2001-2025'!AU151:AX151)/4</f>
        <v>6.3500000000000001E-2</v>
      </c>
      <c r="N153" s="67">
        <f>SUM('Quarterly Data 2001-2025'!AY151:BB151)/4</f>
        <v>7.325000000000001E-2</v>
      </c>
      <c r="O153" s="67">
        <f>SUM('Quarterly Data 2001-2025'!BC151:BF151)/4</f>
        <v>7.5999999999999998E-2</v>
      </c>
      <c r="P153" s="67">
        <f>SUM('Quarterly Data 2001-2025'!BG151:BJ151)/4</f>
        <v>0.10926856429891302</v>
      </c>
      <c r="Q153" s="67">
        <f>SUM('Quarterly Data 2001-2025'!BK151:BN151)/4</f>
        <v>0.13523517367736637</v>
      </c>
      <c r="R153" s="67">
        <f>SUM('Quarterly Data 2001-2025'!BO151:BR151)/4</f>
        <v>0.14163224756659443</v>
      </c>
      <c r="S153" s="67">
        <v>0.11899999999999999</v>
      </c>
      <c r="T153" s="67">
        <v>0.13700000000000001</v>
      </c>
      <c r="U153" s="67">
        <v>0.18099999999999999</v>
      </c>
      <c r="V153" s="67">
        <v>0.19700000000000001</v>
      </c>
      <c r="W153" s="67">
        <v>0.1733976173337943</v>
      </c>
      <c r="X153" s="67">
        <v>0.19111567602948376</v>
      </c>
      <c r="Y153" s="281">
        <v>0.20667057702648392</v>
      </c>
      <c r="Z153" s="50">
        <f>+((Y153/T153)^(1/5))-1</f>
        <v>8.5704447727129152E-2</v>
      </c>
      <c r="AA153" s="307"/>
    </row>
    <row r="154" spans="1:27" x14ac:dyDescent="0.2">
      <c r="A154" s="23" t="s">
        <v>132</v>
      </c>
      <c r="B154" s="73">
        <f>SUM('Quarterly Data 2001-2025'!C152:F152)/4</f>
        <v>7.7750000000000007E-3</v>
      </c>
      <c r="C154" s="70">
        <f>SUM('Quarterly Data 2001-2025'!G152:J152)/4</f>
        <v>8.3000000000000001E-3</v>
      </c>
      <c r="D154" s="70">
        <f>SUM('Quarterly Data 2001-2025'!K152:N152)/4</f>
        <v>1.4775E-2</v>
      </c>
      <c r="E154" s="70">
        <f>SUM('Quarterly Data 2001-2025'!O152:R152)/4</f>
        <v>1.635E-2</v>
      </c>
      <c r="F154" s="70">
        <f>SUM('Quarterly Data 2001-2025'!S152:V152)/4</f>
        <v>2.0400000000000001E-2</v>
      </c>
      <c r="G154" s="70">
        <f>SUM('Quarterly Data 2001-2025'!W152:Z152)/4</f>
        <v>2.7E-2</v>
      </c>
      <c r="H154" s="70">
        <f>SUM('Quarterly Data 2001-2025'!AA152:AD152)/4</f>
        <v>2.8300000000000002E-2</v>
      </c>
      <c r="I154" s="70">
        <f>SUM('Quarterly Data 2001-2025'!AE152:AH152)/4</f>
        <v>3.8500000000000006E-2</v>
      </c>
      <c r="J154" s="70">
        <f>SUM('Quarterly Data 2001-2025'!AI152:AL152)/4</f>
        <v>5.6750000000000002E-2</v>
      </c>
      <c r="K154" s="70">
        <f>SUM('Quarterly Data 2001-2025'!AM152:AP152)/4</f>
        <v>5.525E-2</v>
      </c>
      <c r="L154" s="70">
        <f>SUM('Quarterly Data 2001-2025'!AQ152:AT152)/4</f>
        <v>4.5999999999999999E-2</v>
      </c>
      <c r="M154" s="70">
        <f>SUM('Quarterly Data 2001-2025'!AU152:AX152)/4</f>
        <v>4.0999999999999995E-2</v>
      </c>
      <c r="N154" s="70">
        <f>SUM('Quarterly Data 2001-2025'!AY152:BB152)/4</f>
        <v>4.0750000000000001E-2</v>
      </c>
      <c r="O154" s="70">
        <f>SUM('Quarterly Data 2001-2025'!BC152:BF152)/4</f>
        <v>4.2249999999999996E-2</v>
      </c>
      <c r="P154" s="70">
        <f>SUM('Quarterly Data 2001-2025'!BG152:BJ152)/4</f>
        <v>6.3750000000000001E-2</v>
      </c>
      <c r="Q154" s="70">
        <f>SUM('Quarterly Data 2001-2025'!BK152:BN152)/4</f>
        <v>6.7961392744648477E-2</v>
      </c>
      <c r="R154" s="70">
        <f>SUM('Quarterly Data 2001-2025'!BO152:BR152)/4</f>
        <v>5.9082185401227776E-2</v>
      </c>
      <c r="S154" s="70">
        <f>SUM('Quarterly Data 2001-2025'!BS152:BV152)/4</f>
        <v>5.525E-2</v>
      </c>
      <c r="T154" s="70">
        <v>5.3999999999999999E-2</v>
      </c>
      <c r="U154" s="70">
        <v>8.5000000000000006E-2</v>
      </c>
      <c r="V154" s="70">
        <v>8.8999999999999996E-2</v>
      </c>
      <c r="W154" s="70">
        <v>8.1016008039694734E-2</v>
      </c>
      <c r="X154" s="70">
        <v>7.0225184929809017E-2</v>
      </c>
      <c r="Y154" s="71">
        <v>7.6751488504658141E-2</v>
      </c>
      <c r="Z154" s="50">
        <f>+((Y154/T154)^(1/5))-1</f>
        <v>7.2849021425574145E-2</v>
      </c>
    </row>
    <row r="155" spans="1:27" x14ac:dyDescent="0.2">
      <c r="A155" s="6"/>
      <c r="B155" s="122"/>
      <c r="C155" s="118"/>
      <c r="D155" s="118"/>
      <c r="E155" s="118"/>
      <c r="F155" s="118"/>
      <c r="G155" s="118"/>
      <c r="H155" s="118"/>
      <c r="I155" s="118"/>
      <c r="J155" s="118"/>
      <c r="K155" s="118"/>
      <c r="L155" s="118"/>
      <c r="M155" s="118"/>
      <c r="N155" s="118"/>
      <c r="O155" s="118"/>
      <c r="P155" s="118"/>
      <c r="Q155" s="118"/>
      <c r="R155" s="118"/>
      <c r="S155" s="119"/>
      <c r="T155" s="119"/>
      <c r="U155" s="119"/>
      <c r="V155" s="119"/>
      <c r="W155" s="119"/>
      <c r="X155" s="119"/>
      <c r="Y155" s="119"/>
      <c r="Z155" s="394"/>
    </row>
    <row r="156" spans="1:27" s="198" customFormat="1" x14ac:dyDescent="0.2">
      <c r="A156" s="323" t="s">
        <v>181</v>
      </c>
      <c r="B156" s="26">
        <f>SUM('Quarterly Data 2001-2025'!C154:F154)</f>
        <v>146174</v>
      </c>
      <c r="C156" s="24">
        <f>SUM('Quarterly Data 2001-2025'!G154:J154)</f>
        <v>179792</v>
      </c>
      <c r="D156" s="24">
        <f>SUM('Quarterly Data 2001-2025'!K154:N154)</f>
        <v>175733</v>
      </c>
      <c r="E156" s="24">
        <f>SUM('Quarterly Data 2001-2025'!O154:R154)</f>
        <v>153434</v>
      </c>
      <c r="F156" s="24">
        <f>SUM('Quarterly Data 2001-2025'!S154:V154)</f>
        <v>215766</v>
      </c>
      <c r="G156" s="24">
        <f>SUM('Quarterly Data 2001-2025'!W154:Z154)</f>
        <v>182197</v>
      </c>
      <c r="H156" s="24">
        <f>SUM('Quarterly Data 2001-2025'!AA154:AD154)</f>
        <v>230593</v>
      </c>
      <c r="I156" s="24">
        <f>SUM('Quarterly Data 2001-2025'!AE154:AH154)</f>
        <v>181845</v>
      </c>
      <c r="J156" s="24">
        <f>SUM('Quarterly Data 2001-2025'!AI154:AL154)</f>
        <v>197358</v>
      </c>
      <c r="K156" s="24">
        <f>SUM('Quarterly Data 2001-2025'!AM154:AP154)</f>
        <v>244979</v>
      </c>
      <c r="L156" s="24">
        <f>SUM('Quarterly Data 2001-2025'!AQ154:AT154)</f>
        <v>195973</v>
      </c>
      <c r="M156" s="24">
        <f>SUM('Quarterly Data 2001-2025'!AU154:AX154)</f>
        <v>195714</v>
      </c>
      <c r="N156" s="24">
        <f>SUM('Quarterly Data 2001-2025'!AY154:BB154)</f>
        <v>241349</v>
      </c>
      <c r="O156" s="24">
        <f>SUM('Quarterly Data 2001-2025'!BC154:BF154)</f>
        <v>274592</v>
      </c>
      <c r="P156" s="24">
        <f>SUM('Quarterly Data 2001-2025'!BG154:BJ154)</f>
        <v>288463</v>
      </c>
      <c r="Q156" s="24">
        <f>SUM('Quarterly Data 2001-2025'!BK154:BN154)</f>
        <v>276178</v>
      </c>
      <c r="R156" s="24">
        <f>SUM('Quarterly Data 2001-2025'!BO154:BR154)</f>
        <v>295686</v>
      </c>
      <c r="S156" s="24">
        <f>SUM('Quarterly Data 2001-2025'!BS154:BV154)</f>
        <v>293236</v>
      </c>
      <c r="T156" s="24">
        <f>SUM('Quarterly Data 2001-2025'!BW154:BZ154)</f>
        <v>309934</v>
      </c>
      <c r="U156" s="24">
        <f>SUM('Quarterly Data 2001-2025'!CA154:CD154)</f>
        <v>429377</v>
      </c>
      <c r="V156" s="24">
        <f>SUM('Quarterly Data 2001-2025'!CE154:CH154)</f>
        <v>573469</v>
      </c>
      <c r="W156" s="24">
        <f>SUM('Quarterly Data 2001-2025'!CI154:CL154)</f>
        <v>351152</v>
      </c>
      <c r="X156" s="24">
        <f>SUM('Quarterly Data 2001-2025'!CM154:CP154)</f>
        <v>373182</v>
      </c>
      <c r="Y156" s="24">
        <f>SUM('Quarterly Data 2001-2025'!CQ154:CT154)</f>
        <v>457278</v>
      </c>
      <c r="Z156" s="50">
        <f>IFERROR(+((Y156/T156)^(1/5))-1,"N.A.")</f>
        <v>8.089178784105866E-2</v>
      </c>
    </row>
    <row r="157" spans="1:27" x14ac:dyDescent="0.2">
      <c r="A157" s="23" t="s">
        <v>183</v>
      </c>
      <c r="B157" s="68" t="s">
        <v>34</v>
      </c>
      <c r="C157" s="67">
        <f t="shared" ref="C157:V157" si="56">(C80+(C101-B101))/C156</f>
        <v>7.4169039779300528E-3</v>
      </c>
      <c r="D157" s="67">
        <f t="shared" si="56"/>
        <v>1.0817558455156402E-2</v>
      </c>
      <c r="E157" s="67">
        <f t="shared" si="56"/>
        <v>2.5442470378143043E-2</v>
      </c>
      <c r="F157" s="67">
        <f t="shared" si="56"/>
        <v>3.0645866355218151E-2</v>
      </c>
      <c r="G157" s="67">
        <f t="shared" si="56"/>
        <v>3.4413667623506429E-2</v>
      </c>
      <c r="H157" s="67">
        <f t="shared" si="56"/>
        <v>2.1743426730212973E-2</v>
      </c>
      <c r="I157" s="67">
        <f t="shared" si="56"/>
        <v>3.1416866012263192E-2</v>
      </c>
      <c r="J157" s="67">
        <f t="shared" si="56"/>
        <v>5.9881028384965396E-2</v>
      </c>
      <c r="K157" s="67">
        <f t="shared" si="56"/>
        <v>4.2052584099045227E-2</v>
      </c>
      <c r="L157" s="67">
        <f t="shared" si="56"/>
        <v>2.6299541263337296E-2</v>
      </c>
      <c r="M157" s="67">
        <f t="shared" si="56"/>
        <v>2.9016830681504645E-2</v>
      </c>
      <c r="N157" s="67">
        <f t="shared" si="56"/>
        <v>4.6525985191569058E-2</v>
      </c>
      <c r="O157" s="67">
        <f t="shared" si="56"/>
        <v>7.358087723961361E-2</v>
      </c>
      <c r="P157" s="67">
        <f t="shared" si="56"/>
        <v>8.9005481117266416E-2</v>
      </c>
      <c r="Q157" s="67">
        <f t="shared" si="56"/>
        <v>9.7138409494927178E-2</v>
      </c>
      <c r="R157" s="67">
        <f t="shared" si="56"/>
        <v>9.0920941123489071E-2</v>
      </c>
      <c r="S157" s="67">
        <f t="shared" si="56"/>
        <v>9.441483586102066E-2</v>
      </c>
      <c r="T157" s="67">
        <f t="shared" si="56"/>
        <v>0.10773213198810076</v>
      </c>
      <c r="U157" s="67">
        <f t="shared" si="56"/>
        <v>0.18183467868558398</v>
      </c>
      <c r="V157" s="67">
        <f t="shared" si="56"/>
        <v>0.16203122924515528</v>
      </c>
      <c r="W157" s="94">
        <f>+'Quarterly Data 2001-2025'!CL156</f>
        <v>6.1279984931450406E-2</v>
      </c>
      <c r="X157" s="94">
        <f>+'Quarterly Data 2001-2025'!CP156</f>
        <v>0.19396327445779962</v>
      </c>
      <c r="Y157" s="94">
        <f>+'Quarterly Data 2001-2025'!CT156</f>
        <v>0.19329039814911764</v>
      </c>
      <c r="Z157" s="395" t="s">
        <v>34</v>
      </c>
    </row>
    <row r="158" spans="1:27" x14ac:dyDescent="0.2">
      <c r="A158" s="18" t="s">
        <v>182</v>
      </c>
      <c r="B158" s="43">
        <f>'Quarterly Data 2001-2025'!F157</f>
        <v>2895363</v>
      </c>
      <c r="C158" s="19">
        <f>'Quarterly Data 2001-2025'!J157</f>
        <v>2922408</v>
      </c>
      <c r="D158" s="19">
        <f>'Quarterly Data 2001-2025'!N157</f>
        <v>3155424</v>
      </c>
      <c r="E158" s="19">
        <f>'Quarterly Data 2001-2025'!R157</f>
        <v>3339338</v>
      </c>
      <c r="F158" s="19">
        <f>'Quarterly Data 2001-2025'!V157</f>
        <v>3911037</v>
      </c>
      <c r="G158" s="19">
        <f>'Quarterly Data 2001-2025'!Z157</f>
        <v>4187253</v>
      </c>
      <c r="H158" s="19">
        <f>'Quarterly Data 2001-2025'!AD157</f>
        <v>4393234</v>
      </c>
      <c r="I158" s="19">
        <f>'Quarterly Data 2001-2025'!AH157</f>
        <v>4449626</v>
      </c>
      <c r="J158" s="19">
        <f>'Quarterly Data 2001-2025'!AL157</f>
        <v>4730638</v>
      </c>
      <c r="K158" s="19">
        <f>'Quarterly Data 2001-2025'!AP157</f>
        <v>5296664</v>
      </c>
      <c r="L158" s="19">
        <f>'Quarterly Data 2001-2025'!AT157</f>
        <v>5166735</v>
      </c>
      <c r="M158" s="19">
        <f>'Quarterly Data 2001-2025'!AX157</f>
        <v>5331927</v>
      </c>
      <c r="N158" s="19">
        <f>+'Quarterly Data 2001-2025'!BB157</f>
        <v>5939888</v>
      </c>
      <c r="O158" s="19">
        <f>+'Quarterly Data 2001-2025'!BF157</f>
        <v>6584703</v>
      </c>
      <c r="P158" s="19">
        <f>+'Quarterly Data 2001-2025'!BJ157</f>
        <v>6881407</v>
      </c>
      <c r="Q158" s="19">
        <f>+'Quarterly Data 2001-2025'!BN157</f>
        <v>7260806</v>
      </c>
      <c r="R158" s="19">
        <f>+'Quarterly Data 2001-2025'!BR157</f>
        <v>7784866</v>
      </c>
      <c r="S158" s="19">
        <f>+'Quarterly Data 2001-2025'!BV157</f>
        <v>7833491</v>
      </c>
      <c r="T158" s="19">
        <f>+'Quarterly Data 2001-2025'!BZ157</f>
        <v>8926444</v>
      </c>
      <c r="U158" s="19">
        <f>+'Quarterly Data 2001-2025'!CD157</f>
        <v>9796996</v>
      </c>
      <c r="V158" s="19">
        <f>+'Quarterly Data 2001-2025'!CH157</f>
        <v>11294220</v>
      </c>
      <c r="W158" s="19">
        <f>+'Quarterly Data 2001-2025'!CL157</f>
        <v>10276654</v>
      </c>
      <c r="X158" s="19">
        <f>+'Quarterly Data 2001-2025'!CP157</f>
        <v>11327291</v>
      </c>
      <c r="Y158" s="19">
        <f>+'Quarterly Data 2001-2025'!CT157</f>
        <v>12300589</v>
      </c>
      <c r="Z158" s="50">
        <f>IFERROR(+((Y158/T158)^(1/5))-1,"N.A.")</f>
        <v>6.6226530175748977E-2</v>
      </c>
    </row>
    <row r="159" spans="1:27" x14ac:dyDescent="0.2">
      <c r="A159" s="179" t="s">
        <v>183</v>
      </c>
      <c r="B159" s="108">
        <f>'Quarterly Data 2001-2025'!F158</f>
        <v>2.965569429463594E-3</v>
      </c>
      <c r="C159" s="94">
        <f>'Quarterly Data 2001-2025'!J158</f>
        <v>2.3151798106219252E-3</v>
      </c>
      <c r="D159" s="94">
        <f>'Quarterly Data 2001-2025'!N158</f>
        <v>3.6461660936850326E-3</v>
      </c>
      <c r="E159" s="94">
        <f>'Quarterly Data 2001-2025'!R158</f>
        <v>5.1812664665870896E-3</v>
      </c>
      <c r="F159" s="94">
        <f>'Quarterly Data 2001-2025'!V158</f>
        <v>8.1486061113714859E-3</v>
      </c>
      <c r="G159" s="94">
        <f>'Quarterly Data 2001-2025'!Z158</f>
        <v>1.0872211447457317E-2</v>
      </c>
      <c r="H159" s="94">
        <f>'Quarterly Data 2001-2025'!AD158</f>
        <v>1.0968685027931588E-2</v>
      </c>
      <c r="I159" s="94">
        <f>'Quarterly Data 2001-2025'!AH158</f>
        <v>8.0685662120816449E-3</v>
      </c>
      <c r="J159" s="94">
        <f>'Quarterly Data 2001-2025'!AL158</f>
        <v>1.3618247686675666E-2</v>
      </c>
      <c r="K159" s="94">
        <f>'Quarterly Data 2001-2025'!AP158</f>
        <v>1.6215678396817316E-2</v>
      </c>
      <c r="L159" s="94">
        <f>'Quarterly Data 2001-2025'!AT158</f>
        <v>1.4860835711527687E-2</v>
      </c>
      <c r="M159" s="94">
        <f>'Quarterly Data 2001-2025'!AX158</f>
        <v>1.6629822576340599E-2</v>
      </c>
      <c r="N159" s="94">
        <f>+'Quarterly Data 2001-2025'!BB158</f>
        <v>1.9502219570470016E-2</v>
      </c>
      <c r="O159" s="94">
        <f>+'Quarterly Data 2001-2025'!BF158</f>
        <v>2.2366342148306462E-2</v>
      </c>
      <c r="P159" s="94">
        <f>+'Quarterly Data 2001-2025'!BJ158</f>
        <v>2.8800679041203574E-2</v>
      </c>
      <c r="Q159" s="94">
        <f>+'Quarterly Data 2001-2025'!BN158</f>
        <v>3.293642606619706E-2</v>
      </c>
      <c r="R159" s="94">
        <f>+'Quarterly Data 2001-2025'!BR158</f>
        <v>3.6343721919191954E-2</v>
      </c>
      <c r="S159" s="94">
        <f>+'Quarterly Data 2001-2025'!BV158</f>
        <v>3.8294459499782815E-2</v>
      </c>
      <c r="T159" s="94">
        <f>+'Quarterly Data 2001-2025'!BZ158</f>
        <v>4.5675380193084814E-2</v>
      </c>
      <c r="U159" s="94">
        <f>+'Quarterly Data 2001-2025'!CD158</f>
        <v>5.8233068912860161E-2</v>
      </c>
      <c r="V159" s="94">
        <f>+'Quarterly Data 2001-2025'!CH158</f>
        <v>7.1682633546579125E-2</v>
      </c>
      <c r="W159" s="94">
        <f>+'Quarterly Data 2001-2025'!CL158</f>
        <v>6.4598297882284231E-2</v>
      </c>
      <c r="X159" s="94">
        <f>+'Quarterly Data 2001-2025'!CP158</f>
        <v>6.9010527339960104E-2</v>
      </c>
      <c r="Y159" s="94">
        <f>+'Quarterly Data 2001-2025'!CT158</f>
        <v>7.7635429828835978E-2</v>
      </c>
      <c r="Z159" s="395" t="s">
        <v>34</v>
      </c>
    </row>
    <row r="160" spans="1:27" x14ac:dyDescent="0.2">
      <c r="A160" s="214"/>
      <c r="B160" s="194"/>
      <c r="C160" s="194"/>
      <c r="D160" s="194"/>
      <c r="E160" s="194"/>
      <c r="F160" s="194"/>
      <c r="G160" s="194"/>
      <c r="H160" s="194"/>
      <c r="I160" s="194"/>
      <c r="J160" s="194"/>
      <c r="K160" s="194"/>
      <c r="L160" s="186"/>
      <c r="M160" s="194"/>
      <c r="N160" s="194"/>
      <c r="O160" s="194"/>
      <c r="P160" s="194"/>
      <c r="Q160" s="194"/>
      <c r="R160" s="194"/>
      <c r="S160" s="194"/>
      <c r="T160" s="194"/>
      <c r="U160" s="194"/>
      <c r="V160" s="194"/>
      <c r="W160" s="194"/>
      <c r="X160" s="194"/>
      <c r="Y160" s="378"/>
      <c r="Z160" s="61"/>
    </row>
    <row r="161" spans="1:29" s="198" customFormat="1" x14ac:dyDescent="0.2">
      <c r="A161" s="323" t="s">
        <v>184</v>
      </c>
      <c r="B161" s="26" t="str">
        <f>'Quarterly Data 2001-2025'!F161</f>
        <v>-</v>
      </c>
      <c r="C161" s="24" t="str">
        <f>'Quarterly Data 2001-2025'!J161</f>
        <v>-</v>
      </c>
      <c r="D161" s="24" t="str">
        <f>'Quarterly Data 2001-2025'!N161</f>
        <v>-</v>
      </c>
      <c r="E161" s="24" t="str">
        <f>'Quarterly Data 2001-2025'!R161</f>
        <v>-</v>
      </c>
      <c r="F161" s="24" t="str">
        <f>'Quarterly Data 2001-2025'!V161</f>
        <v>-</v>
      </c>
      <c r="G161" s="24" t="str">
        <f>'Quarterly Data 2001-2025'!Z161</f>
        <v>-</v>
      </c>
      <c r="H161" s="24" t="str">
        <f>'Quarterly Data 2001-2025'!AD161</f>
        <v>-</v>
      </c>
      <c r="I161" s="24" t="str">
        <f>'Quarterly Data 2001-2025'!AH161</f>
        <v>-</v>
      </c>
      <c r="J161" s="24" t="str">
        <f>'Quarterly Data 2001-2025'!AL161</f>
        <v>-</v>
      </c>
      <c r="K161" s="24" t="str">
        <f>'Quarterly Data 2001-2025'!AP161</f>
        <v>-</v>
      </c>
      <c r="L161" s="24" t="str">
        <f>'Quarterly Data 2001-2025'!AT161</f>
        <v>-</v>
      </c>
      <c r="M161" s="24" t="str">
        <f>'Quarterly Data 2001-2025'!AX161</f>
        <v>-</v>
      </c>
      <c r="N161" s="24" t="str">
        <f>+'Quarterly Data 2001-2025'!BB161</f>
        <v>-</v>
      </c>
      <c r="O161" s="24" t="str">
        <f>+'Quarterly Data 2001-2025'!BF161</f>
        <v>-</v>
      </c>
      <c r="P161" s="24" t="str">
        <f>+'Quarterly Data 2001-2025'!BJ161</f>
        <v>-</v>
      </c>
      <c r="Q161" s="24" t="str">
        <f>+'Quarterly Data 2001-2025'!BN161</f>
        <v>-</v>
      </c>
      <c r="R161" s="24" t="str">
        <f>+'Quarterly Data 2001-2025'!BR161</f>
        <v>-</v>
      </c>
      <c r="S161" s="24" t="str">
        <f>+'Quarterly Data 2001-2025'!BV161</f>
        <v>-</v>
      </c>
      <c r="T161" s="24" t="str">
        <f>+'Quarterly Data 2001-2025'!BZ161</f>
        <v>-</v>
      </c>
      <c r="U161" s="24">
        <f>+'Quarterly Data 2001-2025'!CD160</f>
        <v>273481.091434</v>
      </c>
      <c r="V161" s="24">
        <f>+'Quarterly Data 2001-2025'!CH160</f>
        <v>378637.13575700001</v>
      </c>
      <c r="W161" s="24">
        <f>+'Quarterly Data 2001-2025'!CL160</f>
        <v>330734.66626000003</v>
      </c>
      <c r="X161" s="24">
        <f>+'Quarterly Data 2001-2025'!CP160</f>
        <v>332647.29750500002</v>
      </c>
      <c r="Y161" s="24">
        <f>+'Quarterly Data 2001-2025'!CT160</f>
        <v>413400.44669496099</v>
      </c>
      <c r="Z161" s="396" t="s">
        <v>34</v>
      </c>
      <c r="AC161" s="2"/>
    </row>
    <row r="162" spans="1:29" x14ac:dyDescent="0.2">
      <c r="A162" s="18" t="s">
        <v>183</v>
      </c>
      <c r="B162" s="187" t="str">
        <f>'Quarterly Data 2001-2025'!F162</f>
        <v>-</v>
      </c>
      <c r="C162" s="146" t="str">
        <f>'Quarterly Data 2001-2025'!J162</f>
        <v>-</v>
      </c>
      <c r="D162" s="146" t="str">
        <f>'Quarterly Data 2001-2025'!N162</f>
        <v>-</v>
      </c>
      <c r="E162" s="146" t="str">
        <f>'Quarterly Data 2001-2025'!R162</f>
        <v>-</v>
      </c>
      <c r="F162" s="146" t="str">
        <f>'Quarterly Data 2001-2025'!V162</f>
        <v>-</v>
      </c>
      <c r="G162" s="146" t="str">
        <f>'Quarterly Data 2001-2025'!Z162</f>
        <v>-</v>
      </c>
      <c r="H162" s="146" t="str">
        <f>'Quarterly Data 2001-2025'!AD162</f>
        <v>-</v>
      </c>
      <c r="I162" s="146" t="str">
        <f>'Quarterly Data 2001-2025'!AH162</f>
        <v>-</v>
      </c>
      <c r="J162" s="146" t="str">
        <f>'Quarterly Data 2001-2025'!AL162</f>
        <v>-</v>
      </c>
      <c r="K162" s="146" t="str">
        <f>'Quarterly Data 2001-2025'!AP162</f>
        <v>-</v>
      </c>
      <c r="L162" s="146" t="str">
        <f>'Quarterly Data 2001-2025'!AT162</f>
        <v>-</v>
      </c>
      <c r="M162" s="146" t="str">
        <f>'Quarterly Data 2001-2025'!AX162</f>
        <v>-</v>
      </c>
      <c r="N162" s="146" t="str">
        <f>+'Quarterly Data 2001-2025'!BB162</f>
        <v>-</v>
      </c>
      <c r="O162" s="146" t="str">
        <f>+'Quarterly Data 2001-2025'!BF162</f>
        <v>-</v>
      </c>
      <c r="P162" s="146" t="str">
        <f>+'Quarterly Data 2001-2025'!BJ162</f>
        <v>-</v>
      </c>
      <c r="Q162" s="146" t="str">
        <f>+'Quarterly Data 2001-2025'!BN162</f>
        <v>-</v>
      </c>
      <c r="R162" s="146" t="str">
        <f>+'Quarterly Data 2001-2025'!BR162</f>
        <v>-</v>
      </c>
      <c r="S162" s="146" t="str">
        <f>+'Quarterly Data 2001-2025'!BV162</f>
        <v>-</v>
      </c>
      <c r="T162" s="146" t="str">
        <f>+'Quarterly Data 2001-2025'!BZ162</f>
        <v>-</v>
      </c>
      <c r="U162" s="94">
        <f>'Quarterly Data 2001-2025'!CE161</f>
        <v>0.11899999999999999</v>
      </c>
      <c r="V162" s="94">
        <f>'Quarterly Data 2001-2025'!CH161</f>
        <v>0.12024333150517789</v>
      </c>
      <c r="W162" s="94">
        <f>'Quarterly Data 2001-2025'!CL161</f>
        <v>9.6455766974005389E-2</v>
      </c>
      <c r="X162" s="94">
        <f>'Quarterly Data 2001-2025'!CP161</f>
        <v>9.2166033429263522E-2</v>
      </c>
      <c r="Y162" s="377">
        <f>'Quarterly Data 2001-2025'!CT161</f>
        <v>9.4730045344862332E-2</v>
      </c>
      <c r="Z162" s="382" t="s">
        <v>34</v>
      </c>
    </row>
    <row r="163" spans="1:29" x14ac:dyDescent="0.2">
      <c r="A163" s="23" t="s">
        <v>196</v>
      </c>
      <c r="B163" s="187" t="str">
        <f>'Quarterly Data 2001-2025'!F163</f>
        <v>-</v>
      </c>
      <c r="C163" s="146" t="str">
        <f>'Quarterly Data 2001-2025'!J163</f>
        <v>-</v>
      </c>
      <c r="D163" s="146" t="str">
        <f>'Quarterly Data 2001-2025'!N163</f>
        <v>-</v>
      </c>
      <c r="E163" s="146" t="str">
        <f>'Quarterly Data 2001-2025'!R163</f>
        <v>-</v>
      </c>
      <c r="F163" s="146" t="str">
        <f>'Quarterly Data 2001-2025'!V163</f>
        <v>-</v>
      </c>
      <c r="G163" s="146" t="str">
        <f>'Quarterly Data 2001-2025'!Z163</f>
        <v>-</v>
      </c>
      <c r="H163" s="146" t="str">
        <f>'Quarterly Data 2001-2025'!AD163</f>
        <v>-</v>
      </c>
      <c r="I163" s="146" t="str">
        <f>'Quarterly Data 2001-2025'!AH163</f>
        <v>-</v>
      </c>
      <c r="J163" s="146" t="str">
        <f>'Quarterly Data 2001-2025'!AL163</f>
        <v>-</v>
      </c>
      <c r="K163" s="146" t="str">
        <f>'Quarterly Data 2001-2025'!AP163</f>
        <v>-</v>
      </c>
      <c r="L163" s="146" t="str">
        <f>'Quarterly Data 2001-2025'!AT163</f>
        <v>-</v>
      </c>
      <c r="M163" s="146" t="str">
        <f>'Quarterly Data 2001-2025'!AX163</f>
        <v>-</v>
      </c>
      <c r="N163" s="146" t="str">
        <f>+'Quarterly Data 2001-2025'!BB163</f>
        <v>-</v>
      </c>
      <c r="O163" s="146" t="str">
        <f>+'Quarterly Data 2001-2025'!BF163</f>
        <v>-</v>
      </c>
      <c r="P163" s="146" t="str">
        <f>+'Quarterly Data 2001-2025'!BJ163</f>
        <v>-</v>
      </c>
      <c r="Q163" s="146" t="str">
        <f>+'Quarterly Data 2001-2025'!BN163</f>
        <v>-</v>
      </c>
      <c r="R163" s="146" t="str">
        <f>+'Quarterly Data 2001-2025'!BR163</f>
        <v>-</v>
      </c>
      <c r="S163" s="146" t="str">
        <f>+'Quarterly Data 2001-2025'!BV163</f>
        <v>-</v>
      </c>
      <c r="T163" s="146" t="str">
        <f>+'Quarterly Data 2001-2025'!BZ163</f>
        <v>-</v>
      </c>
      <c r="U163" s="19">
        <f>+'Quarterly Data 2001-2025'!CD162</f>
        <v>35988.145469150004</v>
      </c>
      <c r="V163" s="19">
        <f>+'Quarterly Data 2001-2025'!CH162</f>
        <v>39351.465799999998</v>
      </c>
      <c r="W163" s="19">
        <f>+'Quarterly Data 2001-2025'!CL162</f>
        <v>41796.138629000001</v>
      </c>
      <c r="X163" s="19">
        <f>+'Quarterly Data 2001-2025'!CP162</f>
        <v>44282.848711999999</v>
      </c>
      <c r="Y163" s="20">
        <f>+'Quarterly Data 2001-2025'!CT162</f>
        <v>47594.606176000001</v>
      </c>
      <c r="Z163" s="382" t="s">
        <v>34</v>
      </c>
    </row>
    <row r="164" spans="1:29" x14ac:dyDescent="0.2">
      <c r="A164" s="58" t="s">
        <v>183</v>
      </c>
      <c r="B164" s="206" t="s">
        <v>49</v>
      </c>
      <c r="C164" s="206" t="s">
        <v>49</v>
      </c>
      <c r="D164" s="206" t="s">
        <v>49</v>
      </c>
      <c r="E164" s="206" t="s">
        <v>49</v>
      </c>
      <c r="F164" s="206" t="s">
        <v>49</v>
      </c>
      <c r="G164" s="206" t="s">
        <v>49</v>
      </c>
      <c r="H164" s="206" t="s">
        <v>49</v>
      </c>
      <c r="I164" s="206" t="s">
        <v>49</v>
      </c>
      <c r="J164" s="206" t="s">
        <v>49</v>
      </c>
      <c r="K164" s="206" t="s">
        <v>49</v>
      </c>
      <c r="L164" s="206" t="s">
        <v>49</v>
      </c>
      <c r="M164" s="206" t="s">
        <v>49</v>
      </c>
      <c r="N164" s="206" t="s">
        <v>49</v>
      </c>
      <c r="O164" s="206" t="s">
        <v>49</v>
      </c>
      <c r="P164" s="206" t="s">
        <v>49</v>
      </c>
      <c r="Q164" s="206" t="s">
        <v>49</v>
      </c>
      <c r="R164" s="206" t="s">
        <v>49</v>
      </c>
      <c r="S164" s="206" t="s">
        <v>49</v>
      </c>
      <c r="T164" s="206" t="s">
        <v>49</v>
      </c>
      <c r="U164" s="94">
        <f>+'Quarterly Data 2001-2025'!CD163</f>
        <v>9.5556292949241034E-2</v>
      </c>
      <c r="V164" s="407">
        <f>+'Quarterly Data 2001-2025'!CH163</f>
        <v>0.10085312702633811</v>
      </c>
      <c r="W164" s="407">
        <f>+'Quarterly Data 2001-2025'!CL163</f>
        <v>0.10839039527581332</v>
      </c>
      <c r="X164" s="407">
        <f>+'Quarterly Data 2001-2025'!CP163</f>
        <v>0.10910312112984644</v>
      </c>
      <c r="Y164" s="407">
        <f>+'Quarterly Data 2001-2025'!CT163</f>
        <v>0.10694021879661156</v>
      </c>
      <c r="Z164" s="61" t="s">
        <v>34</v>
      </c>
      <c r="AB164" s="197"/>
    </row>
    <row r="165" spans="1:29" ht="15" x14ac:dyDescent="0.2">
      <c r="A165" s="58" t="s">
        <v>246</v>
      </c>
      <c r="B165" s="204"/>
      <c r="C165" s="205"/>
      <c r="D165" s="205"/>
      <c r="E165" s="205"/>
      <c r="F165" s="205"/>
      <c r="G165" s="205"/>
      <c r="H165" s="205"/>
      <c r="I165" s="205"/>
      <c r="J165" s="205"/>
      <c r="K165" s="205"/>
      <c r="L165" s="205"/>
      <c r="M165" s="205"/>
      <c r="N165" s="205"/>
      <c r="O165" s="205"/>
      <c r="P165" s="205"/>
      <c r="Q165" s="205"/>
      <c r="R165" s="205"/>
      <c r="S165" s="205"/>
      <c r="T165" s="19"/>
      <c r="U165" s="19">
        <v>668029.45290499995</v>
      </c>
      <c r="V165" s="19">
        <v>816822.51591800002</v>
      </c>
      <c r="W165" s="19">
        <v>728056.19901400001</v>
      </c>
      <c r="X165" s="19">
        <v>842572.75300000003</v>
      </c>
      <c r="Y165" s="15" t="s">
        <v>268</v>
      </c>
      <c r="Z165" s="61" t="s">
        <v>34</v>
      </c>
      <c r="AA165" s="212"/>
      <c r="AB165" s="197"/>
    </row>
    <row r="166" spans="1:29" x14ac:dyDescent="0.2">
      <c r="A166" s="44" t="s">
        <v>183</v>
      </c>
      <c r="B166" s="192"/>
      <c r="C166" s="193"/>
      <c r="D166" s="193"/>
      <c r="E166" s="193"/>
      <c r="F166" s="193"/>
      <c r="G166" s="193"/>
      <c r="H166" s="193"/>
      <c r="I166" s="193"/>
      <c r="J166" s="193"/>
      <c r="K166" s="193"/>
      <c r="L166" s="193"/>
      <c r="M166" s="193"/>
      <c r="N166" s="193"/>
      <c r="O166" s="193"/>
      <c r="P166" s="193"/>
      <c r="Q166" s="193"/>
      <c r="R166" s="193"/>
      <c r="S166" s="193"/>
      <c r="T166" s="174"/>
      <c r="U166" s="174">
        <v>5.1099221969266119E-2</v>
      </c>
      <c r="V166" s="174">
        <v>5.8305061618527929E-2</v>
      </c>
      <c r="W166" s="174">
        <v>6.2865145812898829E-2</v>
      </c>
      <c r="X166" s="174">
        <v>6.9189314739200966E-2</v>
      </c>
      <c r="Y166" s="367" t="s">
        <v>268</v>
      </c>
      <c r="Z166" s="393" t="s">
        <v>34</v>
      </c>
      <c r="AA166" s="212"/>
      <c r="AB166" s="197"/>
    </row>
    <row r="167" spans="1:29" x14ac:dyDescent="0.2">
      <c r="B167" s="186"/>
      <c r="C167" s="186"/>
      <c r="D167" s="186"/>
      <c r="E167" s="186"/>
      <c r="F167" s="186"/>
      <c r="G167" s="186"/>
      <c r="H167" s="186"/>
      <c r="I167" s="186"/>
      <c r="J167" s="186"/>
      <c r="K167" s="186"/>
      <c r="L167" s="186"/>
      <c r="M167" s="186"/>
      <c r="N167" s="186"/>
      <c r="O167" s="186"/>
      <c r="P167" s="186"/>
      <c r="Q167" s="186"/>
      <c r="R167" s="186"/>
      <c r="S167" s="186"/>
      <c r="T167" s="186"/>
      <c r="U167" s="186"/>
      <c r="V167" s="186"/>
      <c r="W167" s="186"/>
      <c r="X167" s="186"/>
      <c r="Y167" s="186"/>
    </row>
    <row r="168" spans="1:29" x14ac:dyDescent="0.2">
      <c r="A168" s="136" t="s">
        <v>127</v>
      </c>
      <c r="B168" s="4"/>
      <c r="C168" s="4"/>
      <c r="D168" s="4"/>
      <c r="E168" s="4"/>
      <c r="F168" s="4"/>
      <c r="G168" s="4"/>
      <c r="H168" s="4"/>
      <c r="I168" s="4"/>
      <c r="J168" s="4"/>
      <c r="K168" s="4"/>
      <c r="L168" s="4"/>
      <c r="M168" s="4"/>
      <c r="N168" s="4"/>
      <c r="O168" s="4"/>
      <c r="P168" s="4"/>
      <c r="Q168" s="4"/>
      <c r="R168" s="4"/>
      <c r="S168" s="4"/>
      <c r="T168" s="4"/>
      <c r="U168" s="4"/>
      <c r="V168" s="4"/>
      <c r="W168" s="4"/>
      <c r="X168" s="4"/>
      <c r="Y168" s="4"/>
    </row>
    <row r="169" spans="1:29" ht="40.5" x14ac:dyDescent="0.2">
      <c r="A169" s="302" t="s">
        <v>224</v>
      </c>
      <c r="B169" s="4"/>
      <c r="C169" s="4"/>
      <c r="D169" s="4"/>
      <c r="E169" s="4"/>
      <c r="F169" s="4"/>
      <c r="G169" s="4"/>
      <c r="H169" s="4"/>
      <c r="I169" s="4"/>
      <c r="J169" s="4"/>
      <c r="K169" s="4"/>
      <c r="L169" s="2"/>
      <c r="M169" s="4"/>
      <c r="N169" s="4"/>
      <c r="O169" s="4"/>
      <c r="P169" s="4"/>
      <c r="Q169" s="4"/>
      <c r="R169" s="4"/>
      <c r="S169" s="4"/>
      <c r="T169" s="4"/>
      <c r="U169" s="4"/>
      <c r="V169" s="4"/>
      <c r="W169" s="4"/>
      <c r="X169" s="4"/>
      <c r="Y169" s="4"/>
    </row>
    <row r="170" spans="1:29" ht="15" x14ac:dyDescent="0.2">
      <c r="A170" s="2" t="s">
        <v>212</v>
      </c>
      <c r="B170" s="4"/>
      <c r="C170" s="4"/>
      <c r="D170" s="4"/>
      <c r="E170" s="4"/>
      <c r="F170" s="4"/>
      <c r="G170" s="4"/>
      <c r="H170" s="4"/>
      <c r="I170" s="4"/>
      <c r="J170" s="4"/>
      <c r="K170" s="4"/>
      <c r="L170" s="2"/>
      <c r="M170" s="4"/>
      <c r="N170" s="4"/>
      <c r="O170" s="4"/>
      <c r="P170" s="4"/>
      <c r="Q170" s="4"/>
      <c r="R170" s="4"/>
      <c r="S170" s="4"/>
      <c r="T170" s="4"/>
      <c r="U170" s="4"/>
      <c r="V170" s="4"/>
      <c r="W170" s="4"/>
      <c r="X170" s="4"/>
      <c r="Y170" s="4"/>
    </row>
    <row r="171" spans="1:29" ht="66" x14ac:dyDescent="0.2">
      <c r="A171" s="203" t="s">
        <v>234</v>
      </c>
      <c r="B171" s="4"/>
      <c r="C171"/>
      <c r="D171" s="4"/>
      <c r="E171" s="4"/>
      <c r="F171" s="4"/>
      <c r="G171" s="4"/>
      <c r="H171" s="4"/>
      <c r="I171" s="4"/>
      <c r="J171" s="4"/>
      <c r="K171" s="4"/>
      <c r="L171" s="4"/>
      <c r="M171" s="4"/>
      <c r="N171" s="4"/>
      <c r="O171" s="4"/>
      <c r="P171" s="4"/>
      <c r="Q171" s="4"/>
      <c r="R171" s="4"/>
      <c r="S171" s="4"/>
      <c r="T171" s="4"/>
      <c r="U171" s="4"/>
      <c r="V171" s="4"/>
      <c r="W171" s="4"/>
      <c r="X171" s="4"/>
      <c r="Y171" s="4"/>
    </row>
    <row r="172" spans="1:29" ht="53.25" customHeight="1" x14ac:dyDescent="0.2">
      <c r="A172" s="203" t="s">
        <v>220</v>
      </c>
      <c r="L172" s="112"/>
    </row>
    <row r="173" spans="1:29" ht="78.75" x14ac:dyDescent="0.2">
      <c r="A173" s="330" t="s">
        <v>243</v>
      </c>
      <c r="L173" s="112"/>
    </row>
    <row r="174" spans="1:29" ht="66" x14ac:dyDescent="0.2">
      <c r="A174" s="302" t="s">
        <v>247</v>
      </c>
      <c r="L174" s="2"/>
    </row>
    <row r="175" spans="1:29" ht="66" x14ac:dyDescent="0.2">
      <c r="A175" s="302" t="s">
        <v>244</v>
      </c>
      <c r="L175" s="2"/>
    </row>
    <row r="176" spans="1:29" ht="15" x14ac:dyDescent="0.2">
      <c r="A176" s="2" t="s">
        <v>242</v>
      </c>
    </row>
    <row r="177" spans="1:1" ht="104.25" x14ac:dyDescent="0.2">
      <c r="A177" s="302" t="s">
        <v>248</v>
      </c>
    </row>
    <row r="178" spans="1:1" ht="66" x14ac:dyDescent="0.2">
      <c r="A178" s="203" t="s">
        <v>245</v>
      </c>
    </row>
  </sheetData>
  <pageMargins left="0.23622047244094491" right="0.23622047244094491" top="0.74803149606299213" bottom="0.74803149606299213" header="0.31496062992125984" footer="0.31496062992125984"/>
  <pageSetup paperSize="8" scale="79" fitToHeight="0" orientation="landscape" r:id="rId1"/>
  <headerFooter>
    <oddFooter>&amp;R&amp;P (&amp;N)</oddFooter>
  </headerFooter>
  <rowBreaks count="1" manualBreakCount="1">
    <brk id="139" max="16383" man="1"/>
  </rowBreaks>
  <ignoredErrors>
    <ignoredError sqref="B10:R11 B17:R17 B12:P12 Z38 Z40 B45:R46 B38:M38 B33:S36 B40:R40 R57:S57 B39:N39 T33:T35 B37:N37 P37:R37 B21:T22 V128:W130 V135:W135 V69:W69" formulaRange="1"/>
  </ignoredErrors>
  <legacyDrawing r:id="rId2"/>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Quarterly Data 2001-2025</vt:lpstr>
      <vt:lpstr>Annual Data 2001-2024</vt:lpstr>
      <vt:lpstr>'Annual Data 2001-2024'!Print_Area</vt:lpstr>
      <vt:lpstr>'Quarterly Data 2001-2025'!Print_Area</vt:lpstr>
      <vt:lpstr>'Annual Data 2001-2024'!Print_Titles</vt:lpstr>
      <vt:lpstr>'Quarterly Data 2001-2025'!Print_Titles</vt:lpstr>
    </vt:vector>
  </TitlesOfParts>
  <Company>Bankaktiebolaget Avanza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Samuelsson</dc:creator>
  <cp:lastModifiedBy>Sabrina Choudhury</cp:lastModifiedBy>
  <cp:lastPrinted>2025-05-06T06:28:27Z</cp:lastPrinted>
  <dcterms:created xsi:type="dcterms:W3CDTF">2007-08-28T11:03:25Z</dcterms:created>
  <dcterms:modified xsi:type="dcterms:W3CDTF">2025-06-03T15:01:52Z</dcterms:modified>
</cp:coreProperties>
</file>