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G:\Controllermaterial\3. Kvartalsdata\Key Data\"/>
    </mc:Choice>
  </mc:AlternateContent>
  <xr:revisionPtr revIDLastSave="0" documentId="13_ncr:1_{7B5CF559-7787-4C6E-BD1D-438452302399}" xr6:coauthVersionLast="46" xr6:coauthVersionMax="46" xr10:uidLastSave="{00000000-0000-0000-0000-000000000000}"/>
  <bookViews>
    <workbookView xWindow="-120" yWindow="-120" windowWidth="29040" windowHeight="15840" xr2:uid="{1C793F10-2CD2-4E5C-9980-07F078A7FE6D}"/>
  </bookViews>
  <sheets>
    <sheet name="Quarterly Data 2001-2021" sheetId="1" r:id="rId1"/>
    <sheet name="Annual Data 2001-2020" sheetId="2" r:id="rId2"/>
  </sheets>
  <definedNames>
    <definedName name="_xlnm.Print_Area" localSheetId="1">'Annual Data 2001-2020'!$K$1:$V$167</definedName>
    <definedName name="_xlnm.Print_Area" localSheetId="0">'Quarterly Data 2001-2021'!$BI$1:$CE$166</definedName>
    <definedName name="_xlnm.Print_Titles" localSheetId="1">'Annual Data 2001-2020'!$A:$A,'Annual Data 2001-2020'!$5:$5</definedName>
    <definedName name="_xlnm.Print_Titles" localSheetId="0">'Quarterly Data 2001-2021'!$A:$A,'Quarterly Data 2001-2021'!$5:$5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29" i="1" l="1"/>
  <c r="CE29" i="1"/>
  <c r="CE17" i="1" l="1"/>
  <c r="CE99" i="1" l="1"/>
  <c r="CE98" i="1"/>
  <c r="U152" i="2" l="1"/>
  <c r="CE136" i="1"/>
  <c r="CE141" i="1" s="1"/>
  <c r="CE115" i="1"/>
  <c r="CE114" i="1"/>
  <c r="CE112" i="1"/>
  <c r="CE113" i="1" s="1"/>
  <c r="CE97" i="1"/>
  <c r="CE96" i="1"/>
  <c r="CE93" i="1"/>
  <c r="CE86" i="1"/>
  <c r="CE61" i="1"/>
  <c r="CE58" i="1"/>
  <c r="CE131" i="1"/>
  <c r="CE20" i="1"/>
  <c r="CE11" i="1"/>
  <c r="CE117" i="1" s="1"/>
  <c r="CD154" i="1"/>
  <c r="CD152" i="1"/>
  <c r="CD151" i="1"/>
  <c r="CE140" i="1" l="1"/>
  <c r="CE111" i="1"/>
  <c r="CE121" i="1"/>
  <c r="CE63" i="1"/>
  <c r="CE23" i="1"/>
  <c r="CE36" i="1" s="1"/>
  <c r="CE45" i="1"/>
  <c r="CE124" i="1"/>
  <c r="CE116" i="1"/>
  <c r="CD17" i="1"/>
  <c r="U17" i="2" s="1"/>
  <c r="CA11" i="1"/>
  <c r="S17" i="2"/>
  <c r="P39" i="2"/>
  <c r="Q39" i="2"/>
  <c r="R39" i="2"/>
  <c r="S39" i="2"/>
  <c r="T11" i="2"/>
  <c r="CB20" i="1"/>
  <c r="CA20" i="1"/>
  <c r="BZ20" i="1"/>
  <c r="CD61" i="1"/>
  <c r="CD58" i="1"/>
  <c r="BS39" i="1"/>
  <c r="BT39" i="1"/>
  <c r="CB29" i="1"/>
  <c r="CC29" i="1"/>
  <c r="CD63" i="1"/>
  <c r="CD20" i="1"/>
  <c r="CD11" i="1"/>
  <c r="CD45" i="1" l="1"/>
  <c r="CD23" i="1"/>
  <c r="CD50" i="1" s="1"/>
  <c r="CE130" i="1"/>
  <c r="CE50" i="1"/>
  <c r="CE62" i="1"/>
  <c r="CE120" i="1"/>
  <c r="CE31" i="1"/>
  <c r="CE35" i="1" s="1"/>
  <c r="BN36" i="1"/>
  <c r="BP36" i="1"/>
  <c r="BQ36" i="1"/>
  <c r="BR36" i="1"/>
  <c r="BS36" i="1"/>
  <c r="CD31" i="1" l="1"/>
  <c r="CD35" i="1" s="1"/>
  <c r="CD39" i="1" s="1"/>
  <c r="CD44" i="1" s="1"/>
  <c r="CD62" i="1"/>
  <c r="CD36" i="1"/>
  <c r="CE132" i="1"/>
  <c r="CE39" i="1"/>
  <c r="CE138" i="1" s="1"/>
  <c r="CE64" i="1"/>
  <c r="CE122" i="1"/>
  <c r="CE55" i="1"/>
  <c r="CE43" i="1"/>
  <c r="P36" i="2"/>
  <c r="Q36" i="2"/>
  <c r="R36" i="2"/>
  <c r="CD53" i="1" l="1"/>
  <c r="CD64" i="1"/>
  <c r="CD55" i="1"/>
  <c r="CD43" i="1"/>
  <c r="CE137" i="1"/>
  <c r="CE44" i="1"/>
  <c r="CE53" i="1"/>
  <c r="U18" i="2"/>
  <c r="U20" i="2" s="1"/>
  <c r="U16" i="2"/>
  <c r="U15" i="2"/>
  <c r="U11" i="2"/>
  <c r="U62" i="2" l="1"/>
  <c r="V146" i="2"/>
  <c r="V145" i="2"/>
  <c r="V139" i="2"/>
  <c r="CD136" i="1" l="1"/>
  <c r="CD141" i="1" s="1"/>
  <c r="CD140" i="1" l="1"/>
  <c r="CD99" i="1" l="1"/>
  <c r="CD98" i="1"/>
  <c r="U154" i="2" l="1"/>
  <c r="U144" i="2"/>
  <c r="U135" i="2"/>
  <c r="U129" i="2"/>
  <c r="U130" i="2" s="1"/>
  <c r="U128" i="2"/>
  <c r="U120" i="2"/>
  <c r="U92" i="2"/>
  <c r="U91" i="2"/>
  <c r="U90" i="2"/>
  <c r="U89" i="2"/>
  <c r="U97" i="2" s="1"/>
  <c r="U85" i="2"/>
  <c r="U84" i="2"/>
  <c r="U83" i="2"/>
  <c r="U80" i="2"/>
  <c r="U79" i="2"/>
  <c r="U77" i="2"/>
  <c r="U76" i="2"/>
  <c r="U75" i="2"/>
  <c r="U74" i="2"/>
  <c r="T62" i="2"/>
  <c r="U59" i="2"/>
  <c r="U54" i="2"/>
  <c r="U52" i="2"/>
  <c r="U109" i="2"/>
  <c r="U114" i="2" s="1"/>
  <c r="U108" i="2"/>
  <c r="U107" i="2"/>
  <c r="U106" i="2"/>
  <c r="U105" i="2"/>
  <c r="U104" i="2"/>
  <c r="U103" i="2"/>
  <c r="U102" i="2"/>
  <c r="U70" i="2"/>
  <c r="U69" i="2"/>
  <c r="U68" i="2"/>
  <c r="U67" i="2"/>
  <c r="U28" i="2"/>
  <c r="U27" i="2"/>
  <c r="U26" i="2"/>
  <c r="U25" i="2"/>
  <c r="U155" i="2"/>
  <c r="CD115" i="1"/>
  <c r="CD114" i="1"/>
  <c r="CD112" i="1"/>
  <c r="CD97" i="1"/>
  <c r="CD96" i="1"/>
  <c r="CD93" i="1"/>
  <c r="U93" i="2" s="1"/>
  <c r="CD86" i="1"/>
  <c r="U73" i="2"/>
  <c r="CD117" i="1"/>
  <c r="U78" i="2" l="1"/>
  <c r="U61" i="2" s="1"/>
  <c r="U29" i="2"/>
  <c r="U36" i="2" s="1"/>
  <c r="V70" i="2"/>
  <c r="CD113" i="1"/>
  <c r="CD111" i="1"/>
  <c r="CD131" i="1"/>
  <c r="CD121" i="1"/>
  <c r="U136" i="2"/>
  <c r="V129" i="2"/>
  <c r="U140" i="2"/>
  <c r="U115" i="2"/>
  <c r="U86" i="2"/>
  <c r="U116" i="2"/>
  <c r="U117" i="2"/>
  <c r="CD116" i="1"/>
  <c r="T18" i="2"/>
  <c r="T20" i="2" s="1"/>
  <c r="S18" i="2"/>
  <c r="S20" i="2" s="1"/>
  <c r="R18" i="2"/>
  <c r="R20" i="2" s="1"/>
  <c r="Q18" i="2"/>
  <c r="Q20" i="2" s="1"/>
  <c r="P18" i="2"/>
  <c r="L18" i="2"/>
  <c r="K17" i="2"/>
  <c r="T17" i="2"/>
  <c r="R17" i="2"/>
  <c r="M17" i="2"/>
  <c r="P17" i="2"/>
  <c r="Q17" i="2"/>
  <c r="O17" i="2"/>
  <c r="N17" i="2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G23" i="1" s="1"/>
  <c r="BH20" i="1"/>
  <c r="BI20" i="1"/>
  <c r="BJ20" i="1"/>
  <c r="BK20" i="1"/>
  <c r="BL20" i="1"/>
  <c r="BM20" i="1"/>
  <c r="BN20" i="1"/>
  <c r="BN45" i="1" s="1"/>
  <c r="BO20" i="1"/>
  <c r="BO45" i="1" s="1"/>
  <c r="BP20" i="1"/>
  <c r="BP45" i="1" s="1"/>
  <c r="BQ20" i="1"/>
  <c r="BQ45" i="1" s="1"/>
  <c r="BR20" i="1"/>
  <c r="BR45" i="1" s="1"/>
  <c r="BS20" i="1"/>
  <c r="BT20" i="1"/>
  <c r="BU20" i="1"/>
  <c r="BV20" i="1"/>
  <c r="BW20" i="1"/>
  <c r="BX20" i="1"/>
  <c r="BY20" i="1"/>
  <c r="CC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CC154" i="1"/>
  <c r="CC152" i="1"/>
  <c r="CC151" i="1"/>
  <c r="CC112" i="1"/>
  <c r="CC111" i="1" s="1"/>
  <c r="CC114" i="1"/>
  <c r="CC115" i="1"/>
  <c r="CB98" i="1"/>
  <c r="CC98" i="1"/>
  <c r="CC97" i="1"/>
  <c r="CC96" i="1"/>
  <c r="CC61" i="1"/>
  <c r="CC99" i="1"/>
  <c r="CC136" i="1"/>
  <c r="CC141" i="1" s="1"/>
  <c r="CC93" i="1"/>
  <c r="CC86" i="1"/>
  <c r="CC73" i="1"/>
  <c r="CD124" i="1" s="1"/>
  <c r="CC58" i="1"/>
  <c r="CC121" i="1"/>
  <c r="CC11" i="1"/>
  <c r="CB154" i="1"/>
  <c r="CB152" i="1"/>
  <c r="CB151" i="1"/>
  <c r="CB96" i="1"/>
  <c r="CB61" i="1"/>
  <c r="CB99" i="1"/>
  <c r="CB136" i="1"/>
  <c r="CB140" i="1" s="1"/>
  <c r="CB115" i="1"/>
  <c r="CB114" i="1"/>
  <c r="CB112" i="1"/>
  <c r="CB111" i="1" s="1"/>
  <c r="CB97" i="1"/>
  <c r="CB93" i="1"/>
  <c r="CB86" i="1"/>
  <c r="CB73" i="1"/>
  <c r="CB58" i="1"/>
  <c r="CB63" i="1"/>
  <c r="CB11" i="1"/>
  <c r="CB116" i="1" s="1"/>
  <c r="CA154" i="1"/>
  <c r="BZ154" i="1"/>
  <c r="T155" i="2" s="1"/>
  <c r="CA152" i="1"/>
  <c r="CA151" i="1"/>
  <c r="BX86" i="1"/>
  <c r="BY86" i="1"/>
  <c r="CA99" i="1"/>
  <c r="CA98" i="1"/>
  <c r="CA112" i="1"/>
  <c r="CA111" i="1" s="1"/>
  <c r="CA136" i="1"/>
  <c r="CA141" i="1" s="1"/>
  <c r="CA116" i="1"/>
  <c r="CA29" i="1"/>
  <c r="CA131" i="1" s="1"/>
  <c r="BZ11" i="1"/>
  <c r="BZ23" i="1" s="1"/>
  <c r="BZ29" i="1"/>
  <c r="BZ63" i="1" s="1"/>
  <c r="CA73" i="1"/>
  <c r="BZ73" i="1"/>
  <c r="CA115" i="1"/>
  <c r="CA114" i="1"/>
  <c r="CA97" i="1"/>
  <c r="CA96" i="1"/>
  <c r="CA93" i="1"/>
  <c r="CA86" i="1"/>
  <c r="CA61" i="1"/>
  <c r="CA58" i="1"/>
  <c r="T152" i="2"/>
  <c r="T70" i="2"/>
  <c r="T89" i="2"/>
  <c r="U153" i="2" s="1"/>
  <c r="T154" i="2"/>
  <c r="BZ152" i="1"/>
  <c r="BZ151" i="1"/>
  <c r="T129" i="2"/>
  <c r="T52" i="2"/>
  <c r="T135" i="2"/>
  <c r="T140" i="2" s="1"/>
  <c r="T144" i="2"/>
  <c r="D135" i="2"/>
  <c r="D140" i="2" s="1"/>
  <c r="S25" i="2"/>
  <c r="S26" i="2"/>
  <c r="S27" i="2"/>
  <c r="BV28" i="1"/>
  <c r="T27" i="2"/>
  <c r="T25" i="2"/>
  <c r="T26" i="2"/>
  <c r="T28" i="2"/>
  <c r="BZ136" i="1"/>
  <c r="BZ140" i="1" s="1"/>
  <c r="O9" i="2"/>
  <c r="O10" i="2"/>
  <c r="O12" i="2"/>
  <c r="O18" i="2"/>
  <c r="O19" i="2"/>
  <c r="O21" i="2"/>
  <c r="O22" i="2"/>
  <c r="O25" i="2"/>
  <c r="O26" i="2"/>
  <c r="O27" i="2"/>
  <c r="O28" i="2"/>
  <c r="BZ98" i="1"/>
  <c r="BZ99" i="1"/>
  <c r="T74" i="2"/>
  <c r="T75" i="2"/>
  <c r="B75" i="2"/>
  <c r="V75" i="2" s="1"/>
  <c r="F73" i="1"/>
  <c r="B73" i="2" s="1"/>
  <c r="V73" i="2" s="1"/>
  <c r="B74" i="2"/>
  <c r="V74" i="2" s="1"/>
  <c r="C75" i="2"/>
  <c r="J73" i="1"/>
  <c r="C73" i="2" s="1"/>
  <c r="C74" i="2"/>
  <c r="D75" i="2"/>
  <c r="N73" i="1"/>
  <c r="D74" i="2"/>
  <c r="E75" i="2"/>
  <c r="R73" i="1"/>
  <c r="E73" i="2" s="1"/>
  <c r="E74" i="2"/>
  <c r="F75" i="2"/>
  <c r="V73" i="1"/>
  <c r="F73" i="2" s="1"/>
  <c r="F74" i="2"/>
  <c r="G75" i="2"/>
  <c r="Z73" i="1"/>
  <c r="G73" i="2" s="1"/>
  <c r="G74" i="2"/>
  <c r="H75" i="2"/>
  <c r="AD73" i="1"/>
  <c r="H74" i="2"/>
  <c r="I75" i="2"/>
  <c r="AH73" i="1"/>
  <c r="I73" i="2" s="1"/>
  <c r="I74" i="2"/>
  <c r="J75" i="2"/>
  <c r="AL73" i="1"/>
  <c r="J73" i="2" s="1"/>
  <c r="J74" i="2"/>
  <c r="K75" i="2"/>
  <c r="AP73" i="1"/>
  <c r="K73" i="2" s="1"/>
  <c r="K74" i="2"/>
  <c r="L75" i="2"/>
  <c r="AT73" i="1"/>
  <c r="L73" i="2" s="1"/>
  <c r="L74" i="2"/>
  <c r="M75" i="2"/>
  <c r="AX73" i="1"/>
  <c r="M73" i="2" s="1"/>
  <c r="M74" i="2"/>
  <c r="N75" i="2"/>
  <c r="BB73" i="1"/>
  <c r="N73" i="2" s="1"/>
  <c r="N74" i="2"/>
  <c r="O75" i="2"/>
  <c r="BF73" i="1"/>
  <c r="O74" i="2"/>
  <c r="P75" i="2"/>
  <c r="BJ73" i="1"/>
  <c r="P73" i="2" s="1"/>
  <c r="P74" i="2"/>
  <c r="Q75" i="2"/>
  <c r="BN73" i="1"/>
  <c r="Q73" i="2" s="1"/>
  <c r="Q74" i="2"/>
  <c r="R75" i="2"/>
  <c r="BR73" i="1"/>
  <c r="R73" i="2" s="1"/>
  <c r="R74" i="2"/>
  <c r="S75" i="2"/>
  <c r="BV73" i="1"/>
  <c r="S73" i="2" s="1"/>
  <c r="S74" i="2"/>
  <c r="BZ96" i="1"/>
  <c r="BY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150" i="2"/>
  <c r="V150" i="2" s="1"/>
  <c r="B149" i="2"/>
  <c r="V149" i="2" s="1"/>
  <c r="B144" i="2"/>
  <c r="V144" i="2" s="1"/>
  <c r="B135" i="2"/>
  <c r="V135" i="2" s="1"/>
  <c r="B9" i="2"/>
  <c r="V9" i="2" s="1"/>
  <c r="B10" i="2"/>
  <c r="V10" i="2" s="1"/>
  <c r="B12" i="2"/>
  <c r="V12" i="2" s="1"/>
  <c r="C11" i="1"/>
  <c r="C116" i="1" s="1"/>
  <c r="D11" i="1"/>
  <c r="D17" i="1" s="1"/>
  <c r="D23" i="1" s="1"/>
  <c r="E11" i="1"/>
  <c r="E17" i="1" s="1"/>
  <c r="F11" i="1"/>
  <c r="F116" i="1" s="1"/>
  <c r="B18" i="2"/>
  <c r="B19" i="2"/>
  <c r="V19" i="2" s="1"/>
  <c r="B21" i="2"/>
  <c r="B22" i="2"/>
  <c r="V22" i="2" s="1"/>
  <c r="B25" i="2"/>
  <c r="V25" i="2" s="1"/>
  <c r="B26" i="2"/>
  <c r="V26" i="2" s="1"/>
  <c r="B27" i="2"/>
  <c r="V27" i="2" s="1"/>
  <c r="B28" i="2"/>
  <c r="V28" i="2" s="1"/>
  <c r="B33" i="2"/>
  <c r="C29" i="1"/>
  <c r="C131" i="1" s="1"/>
  <c r="D29" i="1"/>
  <c r="D121" i="1" s="1"/>
  <c r="E29" i="1"/>
  <c r="E131" i="1" s="1"/>
  <c r="F29" i="1"/>
  <c r="F131" i="1" s="1"/>
  <c r="B52" i="2"/>
  <c r="V52" i="2" s="1"/>
  <c r="T128" i="2"/>
  <c r="B128" i="2"/>
  <c r="V128" i="2" s="1"/>
  <c r="B73" i="1"/>
  <c r="B78" i="1" s="1"/>
  <c r="T103" i="2"/>
  <c r="T106" i="2"/>
  <c r="T104" i="2"/>
  <c r="T105" i="2"/>
  <c r="B103" i="2"/>
  <c r="V103" i="2" s="1"/>
  <c r="B104" i="2"/>
  <c r="V104" i="2" s="1"/>
  <c r="B105" i="2"/>
  <c r="V105" i="2" s="1"/>
  <c r="T102" i="2"/>
  <c r="T117" i="2" s="1"/>
  <c r="B102" i="2"/>
  <c r="T109" i="2"/>
  <c r="T114" i="2" s="1"/>
  <c r="N9" i="2"/>
  <c r="N109" i="2"/>
  <c r="V109" i="2" s="1"/>
  <c r="T59" i="2"/>
  <c r="U58" i="2" s="1"/>
  <c r="S59" i="2"/>
  <c r="J103" i="2"/>
  <c r="J105" i="2"/>
  <c r="J59" i="2"/>
  <c r="J58" i="2" s="1"/>
  <c r="J102" i="2"/>
  <c r="T108" i="2"/>
  <c r="N108" i="2"/>
  <c r="V108" i="2" s="1"/>
  <c r="T107" i="2"/>
  <c r="Q107" i="2"/>
  <c r="V107" i="2" s="1"/>
  <c r="P106" i="2"/>
  <c r="V106" i="2" s="1"/>
  <c r="BW99" i="1"/>
  <c r="BX99" i="1"/>
  <c r="BY99" i="1"/>
  <c r="B99" i="2"/>
  <c r="B89" i="2"/>
  <c r="V89" i="2" s="1"/>
  <c r="BZ93" i="1"/>
  <c r="T93" i="2" s="1"/>
  <c r="F93" i="1"/>
  <c r="B93" i="2" s="1"/>
  <c r="V93" i="2" s="1"/>
  <c r="T90" i="2"/>
  <c r="F90" i="1"/>
  <c r="B90" i="2" s="1"/>
  <c r="V90" i="2" s="1"/>
  <c r="T80" i="2"/>
  <c r="H80" i="2"/>
  <c r="V80" i="2" s="1"/>
  <c r="T79" i="2"/>
  <c r="C79" i="2"/>
  <c r="V79" i="2" s="1"/>
  <c r="T77" i="2"/>
  <c r="B77" i="2"/>
  <c r="V77" i="2" s="1"/>
  <c r="BV52" i="1"/>
  <c r="S52" i="2" s="1"/>
  <c r="BW98" i="1"/>
  <c r="BX98" i="1"/>
  <c r="BY98" i="1"/>
  <c r="T92" i="2"/>
  <c r="T91" i="2"/>
  <c r="T85" i="2"/>
  <c r="T84" i="2"/>
  <c r="T83" i="2"/>
  <c r="T76" i="2"/>
  <c r="T69" i="2"/>
  <c r="T68" i="2"/>
  <c r="T67" i="2"/>
  <c r="T13" i="2"/>
  <c r="T54" i="2"/>
  <c r="T14" i="2"/>
  <c r="T15" i="2"/>
  <c r="T16" i="2"/>
  <c r="BZ58" i="1"/>
  <c r="BZ45" i="1"/>
  <c r="BZ61" i="1"/>
  <c r="BZ86" i="1"/>
  <c r="BZ97" i="1"/>
  <c r="BZ112" i="1"/>
  <c r="BZ113" i="1" s="1"/>
  <c r="BZ114" i="1"/>
  <c r="BZ115" i="1"/>
  <c r="BZ116" i="1"/>
  <c r="BZ117" i="1"/>
  <c r="BY73" i="1"/>
  <c r="BY11" i="1"/>
  <c r="BY116" i="1" s="1"/>
  <c r="BY29" i="1"/>
  <c r="BW11" i="1"/>
  <c r="BW29" i="1"/>
  <c r="BW121" i="1" s="1"/>
  <c r="BX11" i="1"/>
  <c r="BX117" i="1" s="1"/>
  <c r="BX29" i="1"/>
  <c r="BX131" i="1" s="1"/>
  <c r="BX151" i="1"/>
  <c r="BY151" i="1"/>
  <c r="BX152" i="1"/>
  <c r="BY152" i="1"/>
  <c r="BX154" i="1"/>
  <c r="BY154" i="1"/>
  <c r="BY136" i="1"/>
  <c r="BY141" i="1" s="1"/>
  <c r="BV11" i="1"/>
  <c r="BV117" i="1" s="1"/>
  <c r="BX73" i="1"/>
  <c r="BY124" i="1" s="1"/>
  <c r="BY115" i="1"/>
  <c r="BY114" i="1"/>
  <c r="BY112" i="1"/>
  <c r="BY111" i="1" s="1"/>
  <c r="BY97" i="1"/>
  <c r="BY93" i="1"/>
  <c r="BY61" i="1"/>
  <c r="BY58" i="1"/>
  <c r="BW152" i="1"/>
  <c r="BX136" i="1"/>
  <c r="BX140" i="1" s="1"/>
  <c r="BW73" i="1"/>
  <c r="BX115" i="1"/>
  <c r="BX114" i="1"/>
  <c r="BX112" i="1"/>
  <c r="BX113" i="1" s="1"/>
  <c r="BX97" i="1"/>
  <c r="BX93" i="1"/>
  <c r="BX61" i="1"/>
  <c r="BX58" i="1"/>
  <c r="BW154" i="1"/>
  <c r="BW151" i="1"/>
  <c r="S144" i="2"/>
  <c r="BW136" i="1"/>
  <c r="BW141" i="1" s="1"/>
  <c r="BW115" i="1"/>
  <c r="BW114" i="1"/>
  <c r="BW112" i="1"/>
  <c r="BW111" i="1" s="1"/>
  <c r="BW97" i="1"/>
  <c r="BW93" i="1"/>
  <c r="BW86" i="1"/>
  <c r="BW61" i="1"/>
  <c r="BW58" i="1"/>
  <c r="S64" i="2"/>
  <c r="S129" i="2"/>
  <c r="S132" i="2" s="1"/>
  <c r="S31" i="2"/>
  <c r="S70" i="2"/>
  <c r="S89" i="2"/>
  <c r="S97" i="2" s="1"/>
  <c r="R89" i="2"/>
  <c r="R97" i="2" s="1"/>
  <c r="S152" i="2"/>
  <c r="BV154" i="1"/>
  <c r="S155" i="2" s="1"/>
  <c r="BV151" i="1"/>
  <c r="BV152" i="1"/>
  <c r="R53" i="2"/>
  <c r="S54" i="2"/>
  <c r="S77" i="2"/>
  <c r="S135" i="2"/>
  <c r="S140" i="2" s="1"/>
  <c r="S103" i="2"/>
  <c r="S106" i="2"/>
  <c r="S104" i="2"/>
  <c r="S105" i="2"/>
  <c r="S109" i="2"/>
  <c r="S114" i="2" s="1"/>
  <c r="R59" i="2"/>
  <c r="S108" i="2"/>
  <c r="S107" i="2"/>
  <c r="BS99" i="1"/>
  <c r="BT99" i="1"/>
  <c r="BU99" i="1"/>
  <c r="BV99" i="1"/>
  <c r="S80" i="2"/>
  <c r="S79" i="2"/>
  <c r="R70" i="2"/>
  <c r="S11" i="2"/>
  <c r="S102" i="2"/>
  <c r="R52" i="2"/>
  <c r="BV136" i="1"/>
  <c r="BV141" i="1" s="1"/>
  <c r="BU11" i="1"/>
  <c r="BU23" i="1" s="1"/>
  <c r="BU29" i="1"/>
  <c r="BU63" i="1" s="1"/>
  <c r="BV125" i="1"/>
  <c r="BU73" i="1"/>
  <c r="BT122" i="1"/>
  <c r="BV112" i="1"/>
  <c r="BV113" i="1" s="1"/>
  <c r="BV98" i="1"/>
  <c r="BV97" i="1"/>
  <c r="BV61" i="1"/>
  <c r="S150" i="2"/>
  <c r="S128" i="2"/>
  <c r="J9" i="2"/>
  <c r="J10" i="2"/>
  <c r="BV93" i="1"/>
  <c r="S93" i="2" s="1"/>
  <c r="S90" i="2"/>
  <c r="S154" i="2"/>
  <c r="BS98" i="1"/>
  <c r="BT98" i="1"/>
  <c r="BU98" i="1"/>
  <c r="S91" i="2"/>
  <c r="S92" i="2"/>
  <c r="S84" i="2"/>
  <c r="S85" i="2"/>
  <c r="S83" i="2"/>
  <c r="S76" i="2"/>
  <c r="S68" i="2"/>
  <c r="S69" i="2"/>
  <c r="S67" i="2"/>
  <c r="R63" i="2"/>
  <c r="S55" i="2"/>
  <c r="S14" i="2"/>
  <c r="S15" i="2"/>
  <c r="S16" i="2"/>
  <c r="S13" i="2"/>
  <c r="R11" i="2"/>
  <c r="BV115" i="1"/>
  <c r="BV114" i="1"/>
  <c r="BV86" i="1"/>
  <c r="BV58" i="1"/>
  <c r="BU154" i="1"/>
  <c r="BU152" i="1"/>
  <c r="BU151" i="1"/>
  <c r="BU112" i="1"/>
  <c r="BU113" i="1" s="1"/>
  <c r="BU115" i="1"/>
  <c r="BT11" i="1"/>
  <c r="BT115" i="1"/>
  <c r="BT114" i="1"/>
  <c r="BU114" i="1"/>
  <c r="BS112" i="1"/>
  <c r="BS113" i="1" s="1"/>
  <c r="BT112" i="1"/>
  <c r="BT111" i="1" s="1"/>
  <c r="BT136" i="1"/>
  <c r="BT141" i="1" s="1"/>
  <c r="BU136" i="1"/>
  <c r="BQ31" i="1"/>
  <c r="BQ35" i="1" s="1"/>
  <c r="BQ43" i="1" s="1"/>
  <c r="BR31" i="1"/>
  <c r="BR35" i="1" s="1"/>
  <c r="BR55" i="1" s="1"/>
  <c r="BU125" i="1"/>
  <c r="BT73" i="1"/>
  <c r="BT64" i="1"/>
  <c r="BS61" i="1"/>
  <c r="BT61" i="1"/>
  <c r="BU61" i="1"/>
  <c r="BT55" i="1"/>
  <c r="BS53" i="1"/>
  <c r="BT53" i="1"/>
  <c r="BT29" i="1"/>
  <c r="BT36" i="1" s="1"/>
  <c r="BU97" i="1"/>
  <c r="BU93" i="1"/>
  <c r="BU86" i="1"/>
  <c r="BU58" i="1"/>
  <c r="BC11" i="1"/>
  <c r="BC29" i="1"/>
  <c r="BC121" i="1" s="1"/>
  <c r="G11" i="1"/>
  <c r="G29" i="1"/>
  <c r="G131" i="1" s="1"/>
  <c r="H11" i="1"/>
  <c r="H117" i="1" s="1"/>
  <c r="H29" i="1"/>
  <c r="I11" i="1"/>
  <c r="I29" i="1"/>
  <c r="I131" i="1" s="1"/>
  <c r="J11" i="1"/>
  <c r="J17" i="1" s="1"/>
  <c r="J29" i="1"/>
  <c r="J121" i="1" s="1"/>
  <c r="K11" i="1"/>
  <c r="K117" i="1" s="1"/>
  <c r="K29" i="1"/>
  <c r="L11" i="1"/>
  <c r="L117" i="1" s="1"/>
  <c r="L29" i="1"/>
  <c r="L131" i="1" s="1"/>
  <c r="M11" i="1"/>
  <c r="M29" i="1"/>
  <c r="M131" i="1" s="1"/>
  <c r="N11" i="1"/>
  <c r="N29" i="1"/>
  <c r="O11" i="1"/>
  <c r="O29" i="1"/>
  <c r="O131" i="1" s="1"/>
  <c r="P11" i="1"/>
  <c r="P17" i="1" s="1"/>
  <c r="P29" i="1"/>
  <c r="P131" i="1" s="1"/>
  <c r="Q11" i="1"/>
  <c r="Q17" i="1" s="1"/>
  <c r="Q29" i="1"/>
  <c r="R11" i="1"/>
  <c r="R116" i="1" s="1"/>
  <c r="R29" i="1"/>
  <c r="R131" i="1" s="1"/>
  <c r="S11" i="1"/>
  <c r="S17" i="1" s="1"/>
  <c r="S29" i="1"/>
  <c r="S121" i="1" s="1"/>
  <c r="T11" i="1"/>
  <c r="T17" i="1" s="1"/>
  <c r="T29" i="1"/>
  <c r="U11" i="1"/>
  <c r="U29" i="1"/>
  <c r="V11" i="1"/>
  <c r="V29" i="1"/>
  <c r="V131" i="1" s="1"/>
  <c r="W11" i="1"/>
  <c r="W29" i="1"/>
  <c r="X11" i="1"/>
  <c r="X17" i="1" s="1"/>
  <c r="X29" i="1"/>
  <c r="X131" i="1" s="1"/>
  <c r="Y11" i="1"/>
  <c r="Y116" i="1" s="1"/>
  <c r="Y29" i="1"/>
  <c r="Y121" i="1" s="1"/>
  <c r="Z11" i="1"/>
  <c r="Z29" i="1"/>
  <c r="Z121" i="1" s="1"/>
  <c r="AA11" i="1"/>
  <c r="AA17" i="1" s="1"/>
  <c r="AA29" i="1"/>
  <c r="AA121" i="1" s="1"/>
  <c r="AB11" i="1"/>
  <c r="AB17" i="1" s="1"/>
  <c r="AB29" i="1"/>
  <c r="AB121" i="1" s="1"/>
  <c r="AC11" i="1"/>
  <c r="AC29" i="1"/>
  <c r="AD11" i="1"/>
  <c r="AD17" i="1" s="1"/>
  <c r="AD29" i="1"/>
  <c r="AD131" i="1" s="1"/>
  <c r="AE11" i="1"/>
  <c r="AE29" i="1"/>
  <c r="AF11" i="1"/>
  <c r="AF29" i="1"/>
  <c r="AF131" i="1" s="1"/>
  <c r="AG11" i="1"/>
  <c r="AG29" i="1"/>
  <c r="AH11" i="1"/>
  <c r="AH17" i="1" s="1"/>
  <c r="AH29" i="1"/>
  <c r="AI11" i="1"/>
  <c r="AI29" i="1"/>
  <c r="AJ11" i="1"/>
  <c r="AJ117" i="1" s="1"/>
  <c r="AJ29" i="1"/>
  <c r="AJ63" i="1" s="1"/>
  <c r="AK11" i="1"/>
  <c r="AK29" i="1"/>
  <c r="AK121" i="1" s="1"/>
  <c r="AL11" i="1"/>
  <c r="AL29" i="1"/>
  <c r="AL131" i="1" s="1"/>
  <c r="AM11" i="1"/>
  <c r="AM29" i="1"/>
  <c r="AM131" i="1" s="1"/>
  <c r="AN11" i="1"/>
  <c r="AN116" i="1" s="1"/>
  <c r="AN29" i="1"/>
  <c r="AN121" i="1" s="1"/>
  <c r="AO11" i="1"/>
  <c r="AO29" i="1"/>
  <c r="AP11" i="1"/>
  <c r="AP117" i="1" s="1"/>
  <c r="AP29" i="1"/>
  <c r="AP121" i="1" s="1"/>
  <c r="AQ11" i="1"/>
  <c r="AQ29" i="1"/>
  <c r="AQ63" i="1" s="1"/>
  <c r="AR11" i="1"/>
  <c r="AR23" i="1" s="1"/>
  <c r="AR29" i="1"/>
  <c r="AS11" i="1"/>
  <c r="AS29" i="1"/>
  <c r="AT11" i="1"/>
  <c r="AT116" i="1" s="1"/>
  <c r="AT29" i="1"/>
  <c r="AU11" i="1"/>
  <c r="AU116" i="1" s="1"/>
  <c r="AU29" i="1"/>
  <c r="AV11" i="1"/>
  <c r="AV117" i="1" s="1"/>
  <c r="AV29" i="1"/>
  <c r="AV63" i="1" s="1"/>
  <c r="AW11" i="1"/>
  <c r="AW117" i="1" s="1"/>
  <c r="AW29" i="1"/>
  <c r="AW121" i="1" s="1"/>
  <c r="AX11" i="1"/>
  <c r="AX23" i="1" s="1"/>
  <c r="AX29" i="1"/>
  <c r="AX45" i="1" s="1"/>
  <c r="AY11" i="1"/>
  <c r="AY29" i="1"/>
  <c r="AY63" i="1" s="1"/>
  <c r="AZ11" i="1"/>
  <c r="AZ117" i="1" s="1"/>
  <c r="AZ29" i="1"/>
  <c r="BA11" i="1"/>
  <c r="BA116" i="1" s="1"/>
  <c r="BA29" i="1"/>
  <c r="BA121" i="1" s="1"/>
  <c r="BB11" i="1"/>
  <c r="BB29" i="1"/>
  <c r="BB121" i="1" s="1"/>
  <c r="BD11" i="1"/>
  <c r="BD23" i="1" s="1"/>
  <c r="BD29" i="1"/>
  <c r="BD63" i="1" s="1"/>
  <c r="BE11" i="1"/>
  <c r="BE23" i="1" s="1"/>
  <c r="BE29" i="1"/>
  <c r="BE131" i="1" s="1"/>
  <c r="BF11" i="1"/>
  <c r="BF116" i="1" s="1"/>
  <c r="BF29" i="1"/>
  <c r="BG29" i="1"/>
  <c r="BH11" i="1"/>
  <c r="BH29" i="1"/>
  <c r="BI11" i="1"/>
  <c r="BI116" i="1" s="1"/>
  <c r="BI29" i="1"/>
  <c r="BI121" i="1" s="1"/>
  <c r="BJ29" i="1"/>
  <c r="BJ121" i="1" s="1"/>
  <c r="BK11" i="1"/>
  <c r="BL35" i="1"/>
  <c r="BL39" i="1" s="1"/>
  <c r="BM11" i="1"/>
  <c r="BM29" i="1"/>
  <c r="BM63" i="1" s="1"/>
  <c r="BN31" i="1"/>
  <c r="BN35" i="1" s="1"/>
  <c r="BN39" i="1" s="1"/>
  <c r="BO23" i="1"/>
  <c r="BO36" i="1" s="1"/>
  <c r="BP31" i="1"/>
  <c r="BP35" i="1" s="1"/>
  <c r="BP39" i="1" s="1"/>
  <c r="BS137" i="1"/>
  <c r="BT137" i="1"/>
  <c r="BS138" i="1"/>
  <c r="BT138" i="1"/>
  <c r="R138" i="2"/>
  <c r="Q137" i="2"/>
  <c r="P138" i="2"/>
  <c r="O103" i="2"/>
  <c r="O104" i="2"/>
  <c r="O105" i="2"/>
  <c r="O33" i="2"/>
  <c r="O89" i="2"/>
  <c r="O38" i="2"/>
  <c r="N10" i="2"/>
  <c r="N12" i="2"/>
  <c r="N18" i="2"/>
  <c r="N19" i="2"/>
  <c r="N21" i="2"/>
  <c r="N22" i="2"/>
  <c r="N25" i="2"/>
  <c r="N26" i="2"/>
  <c r="N27" i="2"/>
  <c r="N28" i="2"/>
  <c r="N33" i="2"/>
  <c r="N38" i="2"/>
  <c r="M9" i="2"/>
  <c r="M10" i="2"/>
  <c r="M18" i="2"/>
  <c r="M19" i="2"/>
  <c r="M22" i="2"/>
  <c r="M25" i="2"/>
  <c r="M26" i="2"/>
  <c r="M27" i="2"/>
  <c r="M28" i="2"/>
  <c r="M33" i="2"/>
  <c r="M89" i="2"/>
  <c r="L11" i="2"/>
  <c r="L17" i="2"/>
  <c r="L19" i="2"/>
  <c r="L21" i="2"/>
  <c r="L22" i="2"/>
  <c r="L25" i="2"/>
  <c r="L26" i="2"/>
  <c r="L27" i="2"/>
  <c r="L28" i="2"/>
  <c r="L33" i="2"/>
  <c r="L38" i="2"/>
  <c r="K9" i="2"/>
  <c r="K10" i="2"/>
  <c r="K12" i="2"/>
  <c r="K19" i="2"/>
  <c r="K20" i="2" s="1"/>
  <c r="K21" i="2"/>
  <c r="K22" i="2"/>
  <c r="K25" i="2"/>
  <c r="K26" i="2"/>
  <c r="K27" i="2"/>
  <c r="K28" i="2"/>
  <c r="K33" i="2"/>
  <c r="K38" i="2"/>
  <c r="J12" i="2"/>
  <c r="J18" i="2"/>
  <c r="J19" i="2"/>
  <c r="J21" i="2"/>
  <c r="J22" i="2"/>
  <c r="J25" i="2"/>
  <c r="J26" i="2"/>
  <c r="J27" i="2"/>
  <c r="J28" i="2"/>
  <c r="J33" i="2"/>
  <c r="J38" i="2"/>
  <c r="I9" i="2"/>
  <c r="I10" i="2"/>
  <c r="I12" i="2"/>
  <c r="I18" i="2"/>
  <c r="I19" i="2"/>
  <c r="I21" i="2"/>
  <c r="I22" i="2"/>
  <c r="I25" i="2"/>
  <c r="I26" i="2"/>
  <c r="I27" i="2"/>
  <c r="I28" i="2"/>
  <c r="I33" i="2"/>
  <c r="I38" i="2"/>
  <c r="H9" i="2"/>
  <c r="H10" i="2"/>
  <c r="H12" i="2"/>
  <c r="H18" i="2"/>
  <c r="H19" i="2"/>
  <c r="H21" i="2"/>
  <c r="H22" i="2"/>
  <c r="H25" i="2"/>
  <c r="H26" i="2"/>
  <c r="H27" i="2"/>
  <c r="H28" i="2"/>
  <c r="H33" i="2"/>
  <c r="H38" i="2"/>
  <c r="G9" i="2"/>
  <c r="G10" i="2"/>
  <c r="G12" i="2"/>
  <c r="G18" i="2"/>
  <c r="G19" i="2"/>
  <c r="G21" i="2"/>
  <c r="G22" i="2"/>
  <c r="G25" i="2"/>
  <c r="G26" i="2"/>
  <c r="G27" i="2"/>
  <c r="G28" i="2"/>
  <c r="G33" i="2"/>
  <c r="G89" i="2"/>
  <c r="G38" i="2"/>
  <c r="F9" i="2"/>
  <c r="F10" i="2"/>
  <c r="F12" i="2"/>
  <c r="F18" i="2"/>
  <c r="F19" i="2"/>
  <c r="F21" i="2"/>
  <c r="F22" i="2"/>
  <c r="F25" i="2"/>
  <c r="F26" i="2"/>
  <c r="F27" i="2"/>
  <c r="F28" i="2"/>
  <c r="F33" i="2"/>
  <c r="F38" i="2"/>
  <c r="E9" i="2"/>
  <c r="E10" i="2"/>
  <c r="E12" i="2"/>
  <c r="E18" i="2"/>
  <c r="E19" i="2"/>
  <c r="E21" i="2"/>
  <c r="E22" i="2"/>
  <c r="E25" i="2"/>
  <c r="E26" i="2"/>
  <c r="E27" i="2"/>
  <c r="E28" i="2"/>
  <c r="E33" i="2"/>
  <c r="D9" i="2"/>
  <c r="D10" i="2"/>
  <c r="D12" i="2"/>
  <c r="D18" i="2"/>
  <c r="D19" i="2"/>
  <c r="D21" i="2"/>
  <c r="D22" i="2"/>
  <c r="D25" i="2"/>
  <c r="D26" i="2"/>
  <c r="D27" i="2"/>
  <c r="D28" i="2"/>
  <c r="D33" i="2"/>
  <c r="C9" i="2"/>
  <c r="C10" i="2"/>
  <c r="C12" i="2"/>
  <c r="C18" i="2"/>
  <c r="C19" i="2"/>
  <c r="C21" i="2"/>
  <c r="C22" i="2"/>
  <c r="C25" i="2"/>
  <c r="C26" i="2"/>
  <c r="C27" i="2"/>
  <c r="C28" i="2"/>
  <c r="C33" i="2"/>
  <c r="R137" i="2"/>
  <c r="O135" i="2"/>
  <c r="O140" i="2" s="1"/>
  <c r="O144" i="2"/>
  <c r="N135" i="2"/>
  <c r="N140" i="2" s="1"/>
  <c r="N144" i="2"/>
  <c r="M135" i="2"/>
  <c r="M144" i="2"/>
  <c r="L135" i="2"/>
  <c r="L140" i="2" s="1"/>
  <c r="L144" i="2"/>
  <c r="K135" i="2"/>
  <c r="K140" i="2" s="1"/>
  <c r="K144" i="2"/>
  <c r="J135" i="2"/>
  <c r="J144" i="2"/>
  <c r="I135" i="2"/>
  <c r="I144" i="2"/>
  <c r="H135" i="2"/>
  <c r="H140" i="2" s="1"/>
  <c r="H144" i="2"/>
  <c r="G135" i="2"/>
  <c r="G140" i="2" s="1"/>
  <c r="G144" i="2"/>
  <c r="F135" i="2"/>
  <c r="F144" i="2"/>
  <c r="E135" i="2"/>
  <c r="E140" i="2" s="1"/>
  <c r="E144" i="2"/>
  <c r="D144" i="2"/>
  <c r="C135" i="2"/>
  <c r="C144" i="2"/>
  <c r="BS136" i="1"/>
  <c r="BR136" i="1"/>
  <c r="BR140" i="1" s="1"/>
  <c r="BQ136" i="1"/>
  <c r="BP136" i="1"/>
  <c r="BP141" i="1" s="1"/>
  <c r="BO136" i="1"/>
  <c r="BO140" i="1" s="1"/>
  <c r="BN136" i="1"/>
  <c r="BN140" i="1" s="1"/>
  <c r="BM136" i="1"/>
  <c r="BL136" i="1"/>
  <c r="BK136" i="1"/>
  <c r="BK140" i="1" s="1"/>
  <c r="BJ136" i="1"/>
  <c r="BJ140" i="1" s="1"/>
  <c r="BI136" i="1"/>
  <c r="BI140" i="1" s="1"/>
  <c r="BH136" i="1"/>
  <c r="BG136" i="1"/>
  <c r="BG141" i="1" s="1"/>
  <c r="BF136" i="1"/>
  <c r="BF140" i="1" s="1"/>
  <c r="BE136" i="1"/>
  <c r="BE140" i="1" s="1"/>
  <c r="BD136" i="1"/>
  <c r="BD141" i="1" s="1"/>
  <c r="BC136" i="1"/>
  <c r="BB136" i="1"/>
  <c r="BA136" i="1"/>
  <c r="BA141" i="1" s="1"/>
  <c r="AZ136" i="1"/>
  <c r="AZ141" i="1" s="1"/>
  <c r="AY136" i="1"/>
  <c r="AY140" i="1" s="1"/>
  <c r="AX136" i="1"/>
  <c r="AX141" i="1" s="1"/>
  <c r="AW136" i="1"/>
  <c r="AW140" i="1" s="1"/>
  <c r="AV136" i="1"/>
  <c r="AV140" i="1" s="1"/>
  <c r="AU136" i="1"/>
  <c r="AT136" i="1"/>
  <c r="AS136" i="1"/>
  <c r="AS141" i="1" s="1"/>
  <c r="AR136" i="1"/>
  <c r="AR141" i="1" s="1"/>
  <c r="AQ136" i="1"/>
  <c r="AQ141" i="1" s="1"/>
  <c r="AP136" i="1"/>
  <c r="AP141" i="1" s="1"/>
  <c r="AO136" i="1"/>
  <c r="AO141" i="1" s="1"/>
  <c r="AN136" i="1"/>
  <c r="AN141" i="1" s="1"/>
  <c r="AM136" i="1"/>
  <c r="AL136" i="1"/>
  <c r="AL140" i="1" s="1"/>
  <c r="AK136" i="1"/>
  <c r="AK140" i="1" s="1"/>
  <c r="AJ136" i="1"/>
  <c r="AJ140" i="1" s="1"/>
  <c r="AI136" i="1"/>
  <c r="AH136" i="1"/>
  <c r="AG136" i="1"/>
  <c r="AF136" i="1"/>
  <c r="AF141" i="1" s="1"/>
  <c r="AE136" i="1"/>
  <c r="AD136" i="1"/>
  <c r="AD141" i="1" s="1"/>
  <c r="AC136" i="1"/>
  <c r="AC141" i="1" s="1"/>
  <c r="AB136" i="1"/>
  <c r="AB141" i="1" s="1"/>
  <c r="AA136" i="1"/>
  <c r="Z136" i="1"/>
  <c r="Z140" i="1" s="1"/>
  <c r="Y136" i="1"/>
  <c r="Y140" i="1" s="1"/>
  <c r="X136" i="1"/>
  <c r="X140" i="1" s="1"/>
  <c r="W136" i="1"/>
  <c r="V136" i="1"/>
  <c r="V141" i="1" s="1"/>
  <c r="U136" i="1"/>
  <c r="T136" i="1"/>
  <c r="T140" i="1" s="1"/>
  <c r="S136" i="1"/>
  <c r="R136" i="1"/>
  <c r="R140" i="1" s="1"/>
  <c r="Q136" i="1"/>
  <c r="Q140" i="1" s="1"/>
  <c r="P136" i="1"/>
  <c r="P141" i="1" s="1"/>
  <c r="O136" i="1"/>
  <c r="N136" i="1"/>
  <c r="M136" i="1"/>
  <c r="M141" i="1" s="1"/>
  <c r="L136" i="1"/>
  <c r="L141" i="1" s="1"/>
  <c r="K136" i="1"/>
  <c r="J136" i="1"/>
  <c r="J140" i="1" s="1"/>
  <c r="I136" i="1"/>
  <c r="I140" i="1" s="1"/>
  <c r="H136" i="1"/>
  <c r="H140" i="1" s="1"/>
  <c r="G136" i="1"/>
  <c r="G141" i="1" s="1"/>
  <c r="F136" i="1"/>
  <c r="F140" i="1" s="1"/>
  <c r="E136" i="1"/>
  <c r="D136" i="1"/>
  <c r="D141" i="1" s="1"/>
  <c r="C136" i="1"/>
  <c r="C141" i="1" s="1"/>
  <c r="B80" i="2"/>
  <c r="C80" i="2"/>
  <c r="D80" i="2"/>
  <c r="E80" i="2"/>
  <c r="F80" i="2"/>
  <c r="G80" i="2"/>
  <c r="I80" i="2"/>
  <c r="J80" i="2"/>
  <c r="K80" i="2"/>
  <c r="L80" i="2"/>
  <c r="M80" i="2"/>
  <c r="N80" i="2"/>
  <c r="O80" i="2"/>
  <c r="P80" i="2"/>
  <c r="Q80" i="2"/>
  <c r="R80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R144" i="2"/>
  <c r="R135" i="2"/>
  <c r="Q144" i="2"/>
  <c r="Q135" i="2"/>
  <c r="Q140" i="2" s="1"/>
  <c r="P144" i="2"/>
  <c r="P135" i="2"/>
  <c r="P140" i="2" s="1"/>
  <c r="R129" i="2"/>
  <c r="R131" i="2" s="1"/>
  <c r="Q129" i="2"/>
  <c r="Q131" i="2" s="1"/>
  <c r="P129" i="2"/>
  <c r="P132" i="2" s="1"/>
  <c r="O129" i="2"/>
  <c r="O130" i="2" s="1"/>
  <c r="N129" i="2"/>
  <c r="N130" i="2" s="1"/>
  <c r="M129" i="2"/>
  <c r="M130" i="2" s="1"/>
  <c r="L129" i="2"/>
  <c r="L130" i="2" s="1"/>
  <c r="K129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V49" i="2"/>
  <c r="V48" i="2"/>
  <c r="V47" i="2"/>
  <c r="V46" i="2"/>
  <c r="R122" i="2"/>
  <c r="Q122" i="2"/>
  <c r="P122" i="2"/>
  <c r="R121" i="2"/>
  <c r="Q121" i="2"/>
  <c r="P121" i="2"/>
  <c r="R109" i="2"/>
  <c r="R114" i="2" s="1"/>
  <c r="Q109" i="2"/>
  <c r="Q114" i="2" s="1"/>
  <c r="P109" i="2"/>
  <c r="P114" i="2" s="1"/>
  <c r="O109" i="2"/>
  <c r="R108" i="2"/>
  <c r="Q108" i="2"/>
  <c r="P108" i="2"/>
  <c r="O108" i="2"/>
  <c r="R107" i="2"/>
  <c r="R106" i="2"/>
  <c r="Q106" i="2"/>
  <c r="R105" i="2"/>
  <c r="R103" i="2"/>
  <c r="R104" i="2"/>
  <c r="Q105" i="2"/>
  <c r="P105" i="2"/>
  <c r="N105" i="2"/>
  <c r="N103" i="2"/>
  <c r="N104" i="2"/>
  <c r="M105" i="2"/>
  <c r="L105" i="2"/>
  <c r="K105" i="2"/>
  <c r="I105" i="2"/>
  <c r="H105" i="2"/>
  <c r="G105" i="2"/>
  <c r="F105" i="2"/>
  <c r="E105" i="2"/>
  <c r="D105" i="2"/>
  <c r="C105" i="2"/>
  <c r="Q104" i="2"/>
  <c r="P104" i="2"/>
  <c r="M104" i="2"/>
  <c r="L104" i="2"/>
  <c r="K104" i="2"/>
  <c r="J104" i="2"/>
  <c r="I104" i="2"/>
  <c r="I103" i="2"/>
  <c r="H104" i="2"/>
  <c r="G104" i="2"/>
  <c r="F104" i="2"/>
  <c r="E104" i="2"/>
  <c r="E103" i="2"/>
  <c r="D104" i="2"/>
  <c r="C104" i="2"/>
  <c r="Q103" i="2"/>
  <c r="P103" i="2"/>
  <c r="M103" i="2"/>
  <c r="L103" i="2"/>
  <c r="K103" i="2"/>
  <c r="H103" i="2"/>
  <c r="G103" i="2"/>
  <c r="F103" i="2"/>
  <c r="D103" i="2"/>
  <c r="C103" i="2"/>
  <c r="R102" i="2"/>
  <c r="Q102" i="2"/>
  <c r="P102" i="2"/>
  <c r="O102" i="2"/>
  <c r="N102" i="2"/>
  <c r="M102" i="2"/>
  <c r="L102" i="2"/>
  <c r="K102" i="2"/>
  <c r="I102" i="2"/>
  <c r="H102" i="2"/>
  <c r="G102" i="2"/>
  <c r="F102" i="2"/>
  <c r="E102" i="2"/>
  <c r="D102" i="2"/>
  <c r="C102" i="2"/>
  <c r="L99" i="2"/>
  <c r="K99" i="2"/>
  <c r="J99" i="2"/>
  <c r="I99" i="2"/>
  <c r="H99" i="2"/>
  <c r="G99" i="2"/>
  <c r="F99" i="2"/>
  <c r="E99" i="2"/>
  <c r="D99" i="2"/>
  <c r="C99" i="2"/>
  <c r="L98" i="2"/>
  <c r="K98" i="2"/>
  <c r="J98" i="2"/>
  <c r="I98" i="2"/>
  <c r="H98" i="2"/>
  <c r="G98" i="2"/>
  <c r="F98" i="2"/>
  <c r="E98" i="2"/>
  <c r="D98" i="2"/>
  <c r="C98" i="2"/>
  <c r="B98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Q89" i="2"/>
  <c r="P89" i="2"/>
  <c r="P97" i="2" s="1"/>
  <c r="N89" i="2"/>
  <c r="L89" i="2"/>
  <c r="K89" i="2"/>
  <c r="J89" i="2"/>
  <c r="I89" i="2"/>
  <c r="H89" i="2"/>
  <c r="F89" i="2"/>
  <c r="E89" i="2"/>
  <c r="D89" i="2"/>
  <c r="C89" i="2"/>
  <c r="R85" i="2"/>
  <c r="Q85" i="2"/>
  <c r="P85" i="2"/>
  <c r="O85" i="2"/>
  <c r="R84" i="2"/>
  <c r="Q84" i="2"/>
  <c r="P84" i="2"/>
  <c r="O84" i="2"/>
  <c r="R83" i="2"/>
  <c r="Q83" i="2"/>
  <c r="P83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R77" i="2"/>
  <c r="Q77" i="2"/>
  <c r="P77" i="2"/>
  <c r="O77" i="2"/>
  <c r="N77" i="2"/>
  <c r="M77" i="2"/>
  <c r="J77" i="2"/>
  <c r="I77" i="2"/>
  <c r="H77" i="2"/>
  <c r="G77" i="2"/>
  <c r="F77" i="2"/>
  <c r="E77" i="2"/>
  <c r="D77" i="2"/>
  <c r="C77" i="2"/>
  <c r="R76" i="2"/>
  <c r="Q76" i="2"/>
  <c r="P76" i="2"/>
  <c r="O76" i="2"/>
  <c r="N76" i="2"/>
  <c r="M76" i="2"/>
  <c r="L76" i="2"/>
  <c r="K76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R69" i="2"/>
  <c r="Q69" i="2"/>
  <c r="P69" i="2"/>
  <c r="R68" i="2"/>
  <c r="Q68" i="2"/>
  <c r="P68" i="2"/>
  <c r="R67" i="2"/>
  <c r="Q67" i="2"/>
  <c r="P67" i="2"/>
  <c r="R64" i="2"/>
  <c r="Q64" i="2"/>
  <c r="P64" i="2"/>
  <c r="Q63" i="2"/>
  <c r="P63" i="2"/>
  <c r="Q59" i="2"/>
  <c r="P59" i="2"/>
  <c r="O59" i="2"/>
  <c r="N59" i="2"/>
  <c r="O58" i="2" s="1"/>
  <c r="M59" i="2"/>
  <c r="L59" i="2"/>
  <c r="K59" i="2"/>
  <c r="G59" i="2"/>
  <c r="F59" i="2"/>
  <c r="E59" i="2"/>
  <c r="D59" i="2"/>
  <c r="C59" i="2"/>
  <c r="B59" i="2"/>
  <c r="G58" i="2"/>
  <c r="F58" i="2"/>
  <c r="E58" i="2"/>
  <c r="D58" i="2"/>
  <c r="C58" i="2"/>
  <c r="B58" i="2"/>
  <c r="R55" i="2"/>
  <c r="Q55" i="2"/>
  <c r="P55" i="2"/>
  <c r="R54" i="2"/>
  <c r="Q54" i="2"/>
  <c r="P54" i="2"/>
  <c r="O54" i="2"/>
  <c r="N54" i="2"/>
  <c r="M54" i="2"/>
  <c r="L54" i="2"/>
  <c r="K54" i="2"/>
  <c r="J54" i="2"/>
  <c r="I54" i="2"/>
  <c r="H54" i="2"/>
  <c r="Q52" i="2"/>
  <c r="P52" i="2"/>
  <c r="O52" i="2"/>
  <c r="P53" i="2" s="1"/>
  <c r="N52" i="2"/>
  <c r="M52" i="2"/>
  <c r="L52" i="2"/>
  <c r="K52" i="2"/>
  <c r="I52" i="2"/>
  <c r="H52" i="2"/>
  <c r="G52" i="2"/>
  <c r="F52" i="2"/>
  <c r="E52" i="2"/>
  <c r="D52" i="2"/>
  <c r="C52" i="2"/>
  <c r="R28" i="2"/>
  <c r="Q28" i="2"/>
  <c r="P28" i="2"/>
  <c r="R27" i="2"/>
  <c r="Q27" i="2"/>
  <c r="P27" i="2"/>
  <c r="R26" i="2"/>
  <c r="Q26" i="2"/>
  <c r="P26" i="2"/>
  <c r="R25" i="2"/>
  <c r="Q25" i="2"/>
  <c r="P25" i="2"/>
  <c r="R16" i="2"/>
  <c r="Q16" i="2"/>
  <c r="R15" i="2"/>
  <c r="Q15" i="2"/>
  <c r="R14" i="2"/>
  <c r="Q14" i="2"/>
  <c r="R13" i="2"/>
  <c r="Q13" i="2"/>
  <c r="Q11" i="2"/>
  <c r="Q117" i="2" s="1"/>
  <c r="P11" i="2"/>
  <c r="P117" i="2" s="1"/>
  <c r="BT154" i="1"/>
  <c r="BT152" i="1"/>
  <c r="BT151" i="1"/>
  <c r="BT44" i="1"/>
  <c r="BS44" i="1"/>
  <c r="AX99" i="1"/>
  <c r="M99" i="2" s="1"/>
  <c r="AX98" i="1"/>
  <c r="M98" i="2" s="1"/>
  <c r="AY99" i="1"/>
  <c r="AY98" i="1"/>
  <c r="AZ99" i="1"/>
  <c r="AZ98" i="1"/>
  <c r="BA99" i="1"/>
  <c r="BA98" i="1"/>
  <c r="BB99" i="1"/>
  <c r="BB98" i="1"/>
  <c r="BC99" i="1"/>
  <c r="BC98" i="1"/>
  <c r="BD99" i="1"/>
  <c r="BD98" i="1"/>
  <c r="BE99" i="1"/>
  <c r="BE98" i="1"/>
  <c r="BF99" i="1"/>
  <c r="BF98" i="1"/>
  <c r="BG99" i="1"/>
  <c r="BG98" i="1"/>
  <c r="BH99" i="1"/>
  <c r="BH98" i="1"/>
  <c r="BI99" i="1"/>
  <c r="BI98" i="1"/>
  <c r="BJ99" i="1"/>
  <c r="BJ98" i="1"/>
  <c r="BK99" i="1"/>
  <c r="BK98" i="1"/>
  <c r="BL99" i="1"/>
  <c r="BL98" i="1"/>
  <c r="BM99" i="1"/>
  <c r="BM98" i="1"/>
  <c r="BN99" i="1"/>
  <c r="BN98" i="1"/>
  <c r="BO99" i="1"/>
  <c r="BO98" i="1"/>
  <c r="BP99" i="1"/>
  <c r="BP98" i="1"/>
  <c r="BQ99" i="1"/>
  <c r="BQ98" i="1"/>
  <c r="BR99" i="1"/>
  <c r="BR98" i="1"/>
  <c r="BF86" i="1"/>
  <c r="BF83" i="1" s="1"/>
  <c r="O83" i="2" s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AI58" i="1"/>
  <c r="BT62" i="1"/>
  <c r="BT97" i="1"/>
  <c r="BT132" i="1"/>
  <c r="BT130" i="1"/>
  <c r="BT43" i="1"/>
  <c r="BT125" i="1"/>
  <c r="BS73" i="1"/>
  <c r="BT120" i="1"/>
  <c r="BT93" i="1"/>
  <c r="BS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P152" i="1"/>
  <c r="BQ152" i="1"/>
  <c r="BR152" i="1"/>
  <c r="BS152" i="1"/>
  <c r="BP151" i="1"/>
  <c r="BQ151" i="1"/>
  <c r="BR151" i="1"/>
  <c r="BO152" i="1"/>
  <c r="BO151" i="1"/>
  <c r="BS154" i="1"/>
  <c r="BS63" i="1"/>
  <c r="BS64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R90" i="1"/>
  <c r="R90" i="2" s="1"/>
  <c r="BS93" i="1"/>
  <c r="BS97" i="1"/>
  <c r="BS132" i="1"/>
  <c r="BS131" i="1"/>
  <c r="BS130" i="1"/>
  <c r="BS55" i="1"/>
  <c r="BS50" i="1"/>
  <c r="BS45" i="1"/>
  <c r="BS43" i="1"/>
  <c r="BS125" i="1"/>
  <c r="BS11" i="1"/>
  <c r="BS117" i="1" s="1"/>
  <c r="BS122" i="1"/>
  <c r="BS121" i="1"/>
  <c r="BS120" i="1"/>
  <c r="BS114" i="1"/>
  <c r="BS115" i="1"/>
  <c r="BS62" i="1"/>
  <c r="BR115" i="1"/>
  <c r="BR112" i="1"/>
  <c r="BR111" i="1" s="1"/>
  <c r="BR93" i="1"/>
  <c r="R93" i="2" s="1"/>
  <c r="BK73" i="1"/>
  <c r="BQ154" i="1"/>
  <c r="BP154" i="1"/>
  <c r="BO154" i="1"/>
  <c r="BN154" i="1"/>
  <c r="Q155" i="2" s="1"/>
  <c r="BM154" i="1"/>
  <c r="BL154" i="1"/>
  <c r="BK154" i="1"/>
  <c r="BJ154" i="1"/>
  <c r="P155" i="2" s="1"/>
  <c r="BI154" i="1"/>
  <c r="BH154" i="1"/>
  <c r="BG154" i="1"/>
  <c r="BF154" i="1"/>
  <c r="O155" i="2" s="1"/>
  <c r="BE154" i="1"/>
  <c r="BD154" i="1"/>
  <c r="BC154" i="1"/>
  <c r="BB154" i="1"/>
  <c r="N155" i="2" s="1"/>
  <c r="BA154" i="1"/>
  <c r="AZ154" i="1"/>
  <c r="AY154" i="1"/>
  <c r="AX154" i="1"/>
  <c r="M155" i="2" s="1"/>
  <c r="AW154" i="1"/>
  <c r="AV154" i="1"/>
  <c r="AU154" i="1"/>
  <c r="AT154" i="1"/>
  <c r="L155" i="2" s="1"/>
  <c r="AS154" i="1"/>
  <c r="AR154" i="1"/>
  <c r="AQ154" i="1"/>
  <c r="AP154" i="1"/>
  <c r="K155" i="2" s="1"/>
  <c r="AO154" i="1"/>
  <c r="AN154" i="1"/>
  <c r="AM154" i="1"/>
  <c r="AL154" i="1"/>
  <c r="J155" i="2" s="1"/>
  <c r="AK154" i="1"/>
  <c r="AJ154" i="1"/>
  <c r="AI154" i="1"/>
  <c r="AH154" i="1"/>
  <c r="I155" i="2" s="1"/>
  <c r="AG154" i="1"/>
  <c r="AF154" i="1"/>
  <c r="AE154" i="1"/>
  <c r="AD154" i="1"/>
  <c r="H155" i="2" s="1"/>
  <c r="AC154" i="1"/>
  <c r="AB154" i="1"/>
  <c r="AA154" i="1"/>
  <c r="Z154" i="1"/>
  <c r="G155" i="2" s="1"/>
  <c r="Y154" i="1"/>
  <c r="X154" i="1"/>
  <c r="W154" i="1"/>
  <c r="V154" i="1"/>
  <c r="F155" i="2" s="1"/>
  <c r="U154" i="1"/>
  <c r="T154" i="1"/>
  <c r="S154" i="1"/>
  <c r="R154" i="1"/>
  <c r="E155" i="2" s="1"/>
  <c r="Q154" i="1"/>
  <c r="P154" i="1"/>
  <c r="O154" i="1"/>
  <c r="N154" i="1"/>
  <c r="D155" i="2" s="1"/>
  <c r="M154" i="1"/>
  <c r="L154" i="1"/>
  <c r="K154" i="1"/>
  <c r="J154" i="1"/>
  <c r="C155" i="2" s="1"/>
  <c r="I154" i="1"/>
  <c r="H154" i="1"/>
  <c r="G154" i="1"/>
  <c r="F154" i="1"/>
  <c r="B155" i="2" s="1"/>
  <c r="E154" i="1"/>
  <c r="D154" i="1"/>
  <c r="C154" i="1"/>
  <c r="BR154" i="1"/>
  <c r="R155" i="2" s="1"/>
  <c r="BN93" i="1"/>
  <c r="Q93" i="2" s="1"/>
  <c r="BJ93" i="1"/>
  <c r="P93" i="2" s="1"/>
  <c r="BF93" i="1"/>
  <c r="O93" i="2" s="1"/>
  <c r="BB93" i="1"/>
  <c r="N93" i="2" s="1"/>
  <c r="AX93" i="1"/>
  <c r="M93" i="2" s="1"/>
  <c r="AT93" i="1"/>
  <c r="L93" i="2" s="1"/>
  <c r="AP93" i="1"/>
  <c r="K93" i="2" s="1"/>
  <c r="AL93" i="1"/>
  <c r="J93" i="2" s="1"/>
  <c r="AH93" i="1"/>
  <c r="I93" i="2" s="1"/>
  <c r="AD93" i="1"/>
  <c r="H93" i="2" s="1"/>
  <c r="Z93" i="1"/>
  <c r="G93" i="2" s="1"/>
  <c r="V93" i="1"/>
  <c r="F93" i="2" s="1"/>
  <c r="R93" i="1"/>
  <c r="E93" i="2" s="1"/>
  <c r="N93" i="1"/>
  <c r="D93" i="2" s="1"/>
  <c r="J93" i="1"/>
  <c r="C93" i="2" s="1"/>
  <c r="D93" i="1"/>
  <c r="E93" i="1"/>
  <c r="G93" i="1"/>
  <c r="H93" i="1"/>
  <c r="I93" i="1"/>
  <c r="K93" i="1"/>
  <c r="L93" i="1"/>
  <c r="M93" i="1"/>
  <c r="O93" i="1"/>
  <c r="P93" i="1"/>
  <c r="Q93" i="1"/>
  <c r="S93" i="1"/>
  <c r="T93" i="1"/>
  <c r="U93" i="1"/>
  <c r="W93" i="1"/>
  <c r="X93" i="1"/>
  <c r="Y93" i="1"/>
  <c r="AA93" i="1"/>
  <c r="AB93" i="1"/>
  <c r="AC93" i="1"/>
  <c r="AE93" i="1"/>
  <c r="AF93" i="1"/>
  <c r="AG93" i="1"/>
  <c r="AI93" i="1"/>
  <c r="AJ93" i="1"/>
  <c r="AK93" i="1"/>
  <c r="AM93" i="1"/>
  <c r="AN93" i="1"/>
  <c r="AO93" i="1"/>
  <c r="AQ93" i="1"/>
  <c r="AR93" i="1"/>
  <c r="AS93" i="1"/>
  <c r="AU93" i="1"/>
  <c r="AV93" i="1"/>
  <c r="AW93" i="1"/>
  <c r="AY93" i="1"/>
  <c r="AZ93" i="1"/>
  <c r="BA93" i="1"/>
  <c r="BC93" i="1"/>
  <c r="BD93" i="1"/>
  <c r="BE93" i="1"/>
  <c r="BG93" i="1"/>
  <c r="BH93" i="1"/>
  <c r="BI93" i="1"/>
  <c r="BK93" i="1"/>
  <c r="BL93" i="1"/>
  <c r="BM93" i="1"/>
  <c r="BO93" i="1"/>
  <c r="BP93" i="1"/>
  <c r="BQ93" i="1"/>
  <c r="C93" i="1"/>
  <c r="BB90" i="1"/>
  <c r="N90" i="2" s="1"/>
  <c r="BF90" i="1"/>
  <c r="O90" i="2" s="1"/>
  <c r="BJ90" i="1"/>
  <c r="P90" i="2" s="1"/>
  <c r="BN90" i="1"/>
  <c r="Q90" i="2" s="1"/>
  <c r="BC90" i="1"/>
  <c r="BD90" i="1"/>
  <c r="BE90" i="1"/>
  <c r="BG90" i="1"/>
  <c r="BH90" i="1"/>
  <c r="BI90" i="1"/>
  <c r="BK90" i="1"/>
  <c r="BL90" i="1"/>
  <c r="BM90" i="1"/>
  <c r="BO90" i="1"/>
  <c r="BP90" i="1"/>
  <c r="BQ90" i="1"/>
  <c r="D90" i="1"/>
  <c r="E90" i="1"/>
  <c r="G90" i="1"/>
  <c r="H90" i="1"/>
  <c r="I90" i="1"/>
  <c r="J90" i="1"/>
  <c r="C90" i="2" s="1"/>
  <c r="K90" i="1"/>
  <c r="L90" i="1"/>
  <c r="M90" i="1"/>
  <c r="N90" i="1"/>
  <c r="D90" i="2" s="1"/>
  <c r="O90" i="1"/>
  <c r="P90" i="1"/>
  <c r="Q90" i="1"/>
  <c r="R90" i="1"/>
  <c r="E90" i="2" s="1"/>
  <c r="S90" i="1"/>
  <c r="T90" i="1"/>
  <c r="U90" i="1"/>
  <c r="V90" i="1"/>
  <c r="F90" i="2" s="1"/>
  <c r="W90" i="1"/>
  <c r="X90" i="1"/>
  <c r="Y90" i="1"/>
  <c r="Z90" i="1"/>
  <c r="G90" i="2" s="1"/>
  <c r="AA90" i="1"/>
  <c r="AB90" i="1"/>
  <c r="AC90" i="1"/>
  <c r="AD90" i="1"/>
  <c r="H90" i="2" s="1"/>
  <c r="AE90" i="1"/>
  <c r="AF90" i="1"/>
  <c r="AG90" i="1"/>
  <c r="AH90" i="1"/>
  <c r="I90" i="2" s="1"/>
  <c r="AI90" i="1"/>
  <c r="AJ90" i="1"/>
  <c r="AK90" i="1"/>
  <c r="AL90" i="1"/>
  <c r="J90" i="2" s="1"/>
  <c r="AM90" i="1"/>
  <c r="AN90" i="1"/>
  <c r="AO90" i="1"/>
  <c r="AP90" i="1"/>
  <c r="K90" i="2" s="1"/>
  <c r="AQ90" i="1"/>
  <c r="AR90" i="1"/>
  <c r="AS90" i="1"/>
  <c r="AT90" i="1"/>
  <c r="L90" i="2" s="1"/>
  <c r="AU90" i="1"/>
  <c r="AV90" i="1"/>
  <c r="AW90" i="1"/>
  <c r="AX90" i="1"/>
  <c r="M90" i="2" s="1"/>
  <c r="AY90" i="1"/>
  <c r="AZ90" i="1"/>
  <c r="BA90" i="1"/>
  <c r="C90" i="1"/>
  <c r="D73" i="1"/>
  <c r="E73" i="1"/>
  <c r="G73" i="1"/>
  <c r="H73" i="1"/>
  <c r="I73" i="1"/>
  <c r="K73" i="1"/>
  <c r="K124" i="1" s="1"/>
  <c r="L73" i="1"/>
  <c r="M73" i="1"/>
  <c r="O73" i="1"/>
  <c r="P73" i="1"/>
  <c r="Q73" i="1"/>
  <c r="S73" i="1"/>
  <c r="S117" i="1"/>
  <c r="T73" i="1"/>
  <c r="U73" i="1"/>
  <c r="V117" i="1"/>
  <c r="W73" i="1"/>
  <c r="X73" i="1"/>
  <c r="Y73" i="1"/>
  <c r="Z124" i="1" s="1"/>
  <c r="AA73" i="1"/>
  <c r="AB73" i="1"/>
  <c r="AC73" i="1"/>
  <c r="AE73" i="1"/>
  <c r="AF73" i="1"/>
  <c r="AG73" i="1"/>
  <c r="AI73" i="1"/>
  <c r="AJ73" i="1"/>
  <c r="AK73" i="1"/>
  <c r="AM73" i="1"/>
  <c r="AM124" i="1" s="1"/>
  <c r="AN73" i="1"/>
  <c r="AO73" i="1"/>
  <c r="AQ73" i="1"/>
  <c r="AR73" i="1"/>
  <c r="AS73" i="1"/>
  <c r="AU73" i="1"/>
  <c r="AV73" i="1"/>
  <c r="AW73" i="1"/>
  <c r="AX124" i="1" s="1"/>
  <c r="AY73" i="1"/>
  <c r="AY124" i="1" s="1"/>
  <c r="AZ73" i="1"/>
  <c r="BA73" i="1"/>
  <c r="BC73" i="1"/>
  <c r="BD73" i="1"/>
  <c r="BE73" i="1"/>
  <c r="BG73" i="1"/>
  <c r="BG124" i="1" s="1"/>
  <c r="BH73" i="1"/>
  <c r="BI73" i="1"/>
  <c r="BL73" i="1"/>
  <c r="BM73" i="1"/>
  <c r="BO73" i="1"/>
  <c r="BP73" i="1"/>
  <c r="BQ73" i="1"/>
  <c r="C73" i="1"/>
  <c r="D117" i="1"/>
  <c r="S141" i="1"/>
  <c r="BR129" i="1"/>
  <c r="BR131" i="1" s="1"/>
  <c r="BR50" i="1"/>
  <c r="BR125" i="1"/>
  <c r="BR114" i="1"/>
  <c r="BR63" i="1"/>
  <c r="BR62" i="1"/>
  <c r="BR11" i="1"/>
  <c r="BR116" i="1" s="1"/>
  <c r="G117" i="1"/>
  <c r="I117" i="1"/>
  <c r="M116" i="1"/>
  <c r="Q116" i="1"/>
  <c r="AC121" i="1"/>
  <c r="AK63" i="1"/>
  <c r="BF63" i="1"/>
  <c r="BQ129" i="1"/>
  <c r="BQ130" i="1" s="1"/>
  <c r="BQ11" i="1"/>
  <c r="BQ116" i="1" s="1"/>
  <c r="BP115" i="1"/>
  <c r="BQ115" i="1"/>
  <c r="BQ112" i="1"/>
  <c r="BQ63" i="1"/>
  <c r="BQ62" i="1"/>
  <c r="BQ114" i="1"/>
  <c r="BQ125" i="1"/>
  <c r="BQ50" i="1"/>
  <c r="BP129" i="1"/>
  <c r="BP130" i="1" s="1"/>
  <c r="BP50" i="1"/>
  <c r="BP125" i="1"/>
  <c r="BP11" i="1"/>
  <c r="BP116" i="1" s="1"/>
  <c r="BP114" i="1"/>
  <c r="BP112" i="1"/>
  <c r="BP111" i="1" s="1"/>
  <c r="BP63" i="1"/>
  <c r="BP62" i="1"/>
  <c r="BO115" i="1"/>
  <c r="BN115" i="1"/>
  <c r="BM115" i="1"/>
  <c r="BL115" i="1"/>
  <c r="BK115" i="1"/>
  <c r="BJ115" i="1"/>
  <c r="BI115" i="1"/>
  <c r="BH115" i="1"/>
  <c r="BO11" i="1"/>
  <c r="BO117" i="1" s="1"/>
  <c r="BN11" i="1"/>
  <c r="BN116" i="1" s="1"/>
  <c r="BL11" i="1"/>
  <c r="BL117" i="1" s="1"/>
  <c r="BJ11" i="1"/>
  <c r="BJ116" i="1" s="1"/>
  <c r="BJ114" i="1"/>
  <c r="AZ114" i="1"/>
  <c r="BA114" i="1"/>
  <c r="BB114" i="1"/>
  <c r="BC114" i="1"/>
  <c r="BD114" i="1"/>
  <c r="BE114" i="1"/>
  <c r="BF114" i="1"/>
  <c r="BG114" i="1"/>
  <c r="BH114" i="1"/>
  <c r="BI114" i="1"/>
  <c r="BK114" i="1"/>
  <c r="BL114" i="1"/>
  <c r="BM114" i="1"/>
  <c r="BN114" i="1"/>
  <c r="BO114" i="1"/>
  <c r="AY114" i="1"/>
  <c r="BO112" i="1"/>
  <c r="BO63" i="1"/>
  <c r="BO129" i="1"/>
  <c r="BO131" i="1" s="1"/>
  <c r="BO125" i="1"/>
  <c r="BN63" i="1"/>
  <c r="BN62" i="1"/>
  <c r="BF115" i="1"/>
  <c r="BN112" i="1"/>
  <c r="BN111" i="1" s="1"/>
  <c r="BN129" i="1"/>
  <c r="BN130" i="1" s="1"/>
  <c r="BN50" i="1"/>
  <c r="BN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C125" i="1"/>
  <c r="BL29" i="1"/>
  <c r="BL63" i="1" s="1"/>
  <c r="BL112" i="1"/>
  <c r="BM112" i="1"/>
  <c r="BM111" i="1" s="1"/>
  <c r="AK61" i="1"/>
  <c r="AM112" i="1"/>
  <c r="AM111" i="1" s="1"/>
  <c r="AN112" i="1"/>
  <c r="AN111" i="1" s="1"/>
  <c r="AO112" i="1"/>
  <c r="AO111" i="1" s="1"/>
  <c r="AP112" i="1"/>
  <c r="AP111" i="1" s="1"/>
  <c r="AQ112" i="1"/>
  <c r="AQ111" i="1" s="1"/>
  <c r="AR112" i="1"/>
  <c r="AS112" i="1"/>
  <c r="AT112" i="1"/>
  <c r="AT111" i="1" s="1"/>
  <c r="AU112" i="1"/>
  <c r="AU113" i="1" s="1"/>
  <c r="AV112" i="1"/>
  <c r="AV113" i="1" s="1"/>
  <c r="AW112" i="1"/>
  <c r="AW111" i="1" s="1"/>
  <c r="AX112" i="1"/>
  <c r="AX111" i="1" s="1"/>
  <c r="AY112" i="1"/>
  <c r="AY113" i="1" s="1"/>
  <c r="AZ112" i="1"/>
  <c r="AZ111" i="1" s="1"/>
  <c r="BA112" i="1"/>
  <c r="BA111" i="1" s="1"/>
  <c r="BB112" i="1"/>
  <c r="BB113" i="1" s="1"/>
  <c r="BC112" i="1"/>
  <c r="BD112" i="1"/>
  <c r="BD113" i="1" s="1"/>
  <c r="BE112" i="1"/>
  <c r="BE111" i="1" s="1"/>
  <c r="BF112" i="1"/>
  <c r="BF111" i="1" s="1"/>
  <c r="BG112" i="1"/>
  <c r="BH112" i="1"/>
  <c r="BH113" i="1" s="1"/>
  <c r="BI112" i="1"/>
  <c r="BI111" i="1" s="1"/>
  <c r="BJ112" i="1"/>
  <c r="BJ113" i="1" s="1"/>
  <c r="BK112" i="1"/>
  <c r="BK113" i="1" s="1"/>
  <c r="BM129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G115" i="1"/>
  <c r="BL129" i="1"/>
  <c r="BL132" i="1" s="1"/>
  <c r="BK129" i="1"/>
  <c r="BK131" i="1" s="1"/>
  <c r="BE129" i="1"/>
  <c r="BH129" i="1"/>
  <c r="BI129" i="1"/>
  <c r="BJ129" i="1"/>
  <c r="BG129" i="1"/>
  <c r="BF129" i="1"/>
  <c r="BF131" i="1" s="1"/>
  <c r="BD129" i="1"/>
  <c r="BC129" i="1"/>
  <c r="BB129" i="1"/>
  <c r="BA129" i="1"/>
  <c r="AQ129" i="1"/>
  <c r="AR129" i="1"/>
  <c r="AS129" i="1"/>
  <c r="AS131" i="1" s="1"/>
  <c r="AT129" i="1"/>
  <c r="AU129" i="1"/>
  <c r="AV129" i="1"/>
  <c r="AW129" i="1"/>
  <c r="AX129" i="1"/>
  <c r="AX131" i="1" s="1"/>
  <c r="AY129" i="1"/>
  <c r="AZ129" i="1"/>
  <c r="B135" i="1"/>
  <c r="U140" i="1"/>
  <c r="AE140" i="1"/>
  <c r="AM140" i="1"/>
  <c r="BK45" i="1"/>
  <c r="BK63" i="1"/>
  <c r="BG116" i="1"/>
  <c r="BG117" i="1"/>
  <c r="BJ62" i="1"/>
  <c r="BR121" i="1"/>
  <c r="BQ61" i="1"/>
  <c r="BR120" i="1"/>
  <c r="BO121" i="1"/>
  <c r="BN61" i="1"/>
  <c r="BO61" i="1"/>
  <c r="BP120" i="1"/>
  <c r="BP121" i="1"/>
  <c r="BQ121" i="1"/>
  <c r="BP61" i="1"/>
  <c r="BQ120" i="1"/>
  <c r="BJ61" i="1"/>
  <c r="BK121" i="1"/>
  <c r="AL61" i="1"/>
  <c r="BN120" i="1"/>
  <c r="BM61" i="1"/>
  <c r="BN121" i="1"/>
  <c r="AO61" i="1"/>
  <c r="AS61" i="1"/>
  <c r="AW61" i="1"/>
  <c r="BA61" i="1"/>
  <c r="BE61" i="1"/>
  <c r="BJ120" i="1"/>
  <c r="BI61" i="1"/>
  <c r="AI61" i="1"/>
  <c r="AM61" i="1"/>
  <c r="AQ61" i="1"/>
  <c r="AU61" i="1"/>
  <c r="AY61" i="1"/>
  <c r="BR61" i="1"/>
  <c r="BC61" i="1"/>
  <c r="BG61" i="1"/>
  <c r="BK61" i="1"/>
  <c r="BL61" i="1"/>
  <c r="BH61" i="1"/>
  <c r="BF61" i="1"/>
  <c r="AV61" i="1"/>
  <c r="AT61" i="1"/>
  <c r="BB61" i="1"/>
  <c r="BD61" i="1"/>
  <c r="AP61" i="1"/>
  <c r="AX61" i="1"/>
  <c r="AH61" i="1"/>
  <c r="AN61" i="1"/>
  <c r="AR61" i="1"/>
  <c r="AZ61" i="1"/>
  <c r="AI112" i="1"/>
  <c r="AL112" i="1"/>
  <c r="AL111" i="1" s="1"/>
  <c r="AJ61" i="1"/>
  <c r="AK112" i="1"/>
  <c r="AK113" i="1" s="1"/>
  <c r="AJ112" i="1"/>
  <c r="V140" i="1"/>
  <c r="AG116" i="1"/>
  <c r="G116" i="1"/>
  <c r="S140" i="1"/>
  <c r="N116" i="1"/>
  <c r="I121" i="1"/>
  <c r="AU117" i="1"/>
  <c r="M117" i="1"/>
  <c r="AO63" i="1"/>
  <c r="AE141" i="1"/>
  <c r="AV45" i="1"/>
  <c r="BC141" i="1"/>
  <c r="BC140" i="1"/>
  <c r="AC131" i="1"/>
  <c r="U131" i="1"/>
  <c r="U121" i="1"/>
  <c r="BT140" i="1"/>
  <c r="J131" i="1"/>
  <c r="BF121" i="1"/>
  <c r="Z116" i="1"/>
  <c r="I116" i="1"/>
  <c r="Z117" i="1"/>
  <c r="AM141" i="1"/>
  <c r="AS116" i="1"/>
  <c r="AS117" i="1"/>
  <c r="AF121" i="1"/>
  <c r="AX117" i="1"/>
  <c r="AA141" i="1"/>
  <c r="AA140" i="1"/>
  <c r="D140" i="1"/>
  <c r="AY117" i="1"/>
  <c r="AY116" i="1"/>
  <c r="BL55" i="1"/>
  <c r="BL64" i="1"/>
  <c r="BC63" i="1"/>
  <c r="AK45" i="1"/>
  <c r="N140" i="1"/>
  <c r="N141" i="1"/>
  <c r="AV121" i="1"/>
  <c r="Y131" i="1"/>
  <c r="S116" i="1"/>
  <c r="BB117" i="1"/>
  <c r="BB116" i="1"/>
  <c r="K116" i="1"/>
  <c r="AK131" i="1"/>
  <c r="Y117" i="1"/>
  <c r="V116" i="1"/>
  <c r="AQ117" i="1"/>
  <c r="AQ116" i="1"/>
  <c r="S131" i="1"/>
  <c r="BD116" i="1"/>
  <c r="C140" i="1"/>
  <c r="BR141" i="1"/>
  <c r="U17" i="1"/>
  <c r="U23" i="1" s="1"/>
  <c r="U36" i="1" s="1"/>
  <c r="BU111" i="1"/>
  <c r="G17" i="1"/>
  <c r="AG17" i="1"/>
  <c r="Y17" i="1"/>
  <c r="W17" i="1"/>
  <c r="M17" i="1"/>
  <c r="M45" i="1" s="1"/>
  <c r="I17" i="1"/>
  <c r="K17" i="1"/>
  <c r="K23" i="1" s="1"/>
  <c r="K130" i="1" s="1"/>
  <c r="BU141" i="1"/>
  <c r="BU140" i="1"/>
  <c r="N17" i="1"/>
  <c r="BI141" i="1"/>
  <c r="U141" i="1"/>
  <c r="CB141" i="1"/>
  <c r="BJ141" i="1"/>
  <c r="BY113" i="1"/>
  <c r="S28" i="2"/>
  <c r="BV29" i="1"/>
  <c r="BV121" i="1" s="1"/>
  <c r="AU23" i="1"/>
  <c r="BV111" i="1"/>
  <c r="BY140" i="1"/>
  <c r="BZ62" i="1"/>
  <c r="AX121" i="1"/>
  <c r="AS121" i="1"/>
  <c r="F124" i="1"/>
  <c r="F117" i="1"/>
  <c r="BA140" i="1"/>
  <c r="BG121" i="1"/>
  <c r="AL141" i="1"/>
  <c r="H73" i="2"/>
  <c r="F17" i="1"/>
  <c r="AG131" i="1"/>
  <c r="AG121" i="1"/>
  <c r="AE17" i="1"/>
  <c r="AE23" i="1" s="1"/>
  <c r="AE36" i="1" s="1"/>
  <c r="AE116" i="1"/>
  <c r="AE117" i="1"/>
  <c r="S138" i="2"/>
  <c r="CA117" i="1"/>
  <c r="P137" i="2"/>
  <c r="O73" i="2"/>
  <c r="AX62" i="1"/>
  <c r="CB124" i="1"/>
  <c r="BP131" i="1"/>
  <c r="AG117" i="1"/>
  <c r="BT116" i="1"/>
  <c r="BT117" i="1"/>
  <c r="BJ117" i="1"/>
  <c r="O117" i="1"/>
  <c r="O116" i="1"/>
  <c r="W141" i="1"/>
  <c r="W140" i="1"/>
  <c r="AY121" i="1"/>
  <c r="BS141" i="1"/>
  <c r="BS140" i="1"/>
  <c r="AU141" i="1"/>
  <c r="AU140" i="1"/>
  <c r="BB141" i="1"/>
  <c r="BB140" i="1"/>
  <c r="AM117" i="1"/>
  <c r="AM116" i="1"/>
  <c r="BR43" i="1"/>
  <c r="BY117" i="1"/>
  <c r="AW116" i="1"/>
  <c r="AW23" i="1"/>
  <c r="BH117" i="1"/>
  <c r="BH116" i="1"/>
  <c r="AM113" i="1"/>
  <c r="R117" i="1"/>
  <c r="R17" i="1"/>
  <c r="BW131" i="1"/>
  <c r="BW63" i="1"/>
  <c r="Q131" i="1"/>
  <c r="Q121" i="1"/>
  <c r="O17" i="1"/>
  <c r="BK141" i="1"/>
  <c r="J141" i="1"/>
  <c r="AI140" i="1"/>
  <c r="AI141" i="1"/>
  <c r="AK23" i="1"/>
  <c r="AK36" i="1" s="1"/>
  <c r="AK116" i="1"/>
  <c r="AK117" i="1"/>
  <c r="S53" i="2"/>
  <c r="S137" i="2"/>
  <c r="K140" i="1"/>
  <c r="K141" i="1"/>
  <c r="BM45" i="1"/>
  <c r="BN141" i="1"/>
  <c r="BL138" i="1"/>
  <c r="BL122" i="1"/>
  <c r="BH63" i="1"/>
  <c r="V121" i="1"/>
  <c r="CB45" i="1"/>
  <c r="CB121" i="1"/>
  <c r="CB131" i="1"/>
  <c r="S122" i="2"/>
  <c r="P50" i="2"/>
  <c r="P43" i="2"/>
  <c r="P120" i="2"/>
  <c r="P62" i="2"/>
  <c r="Q50" i="2"/>
  <c r="Q120" i="2"/>
  <c r="Q43" i="2"/>
  <c r="Q62" i="2"/>
  <c r="P44" i="2"/>
  <c r="Q44" i="2"/>
  <c r="T120" i="2"/>
  <c r="T130" i="2"/>
  <c r="R62" i="2"/>
  <c r="R44" i="2"/>
  <c r="R43" i="2"/>
  <c r="R120" i="2"/>
  <c r="R50" i="2"/>
  <c r="O11" i="2"/>
  <c r="BZ130" i="1"/>
  <c r="BZ31" i="1"/>
  <c r="BZ35" i="1" s="1"/>
  <c r="BZ39" i="1" s="1"/>
  <c r="BZ50" i="1"/>
  <c r="AU120" i="1"/>
  <c r="S62" i="2"/>
  <c r="S120" i="2"/>
  <c r="S44" i="2"/>
  <c r="S43" i="2"/>
  <c r="N120" i="2"/>
  <c r="N62" i="2"/>
  <c r="L120" i="2"/>
  <c r="L62" i="2"/>
  <c r="O120" i="2"/>
  <c r="O62" i="2"/>
  <c r="M62" i="2"/>
  <c r="M120" i="2"/>
  <c r="BE63" i="1" l="1"/>
  <c r="BD140" i="1"/>
  <c r="H141" i="1"/>
  <c r="AV141" i="1"/>
  <c r="BJ63" i="1"/>
  <c r="I45" i="1"/>
  <c r="BJ131" i="1"/>
  <c r="AN131" i="1"/>
  <c r="AK111" i="1"/>
  <c r="BJ50" i="1"/>
  <c r="BS111" i="1"/>
  <c r="AF140" i="1"/>
  <c r="L116" i="1"/>
  <c r="BE45" i="1"/>
  <c r="P140" i="1"/>
  <c r="AN63" i="1"/>
  <c r="P121" i="1"/>
  <c r="BE121" i="1"/>
  <c r="AN140" i="1"/>
  <c r="Y23" i="1"/>
  <c r="AR36" i="1"/>
  <c r="BV23" i="1"/>
  <c r="BV120" i="1" s="1"/>
  <c r="AV131" i="1"/>
  <c r="AV111" i="1"/>
  <c r="BX45" i="1"/>
  <c r="C97" i="2"/>
  <c r="AM45" i="1"/>
  <c r="AJ116" i="1"/>
  <c r="L136" i="2"/>
  <c r="L142" i="2" s="1"/>
  <c r="Q130" i="2"/>
  <c r="BV124" i="1"/>
  <c r="Q132" i="2"/>
  <c r="R141" i="1"/>
  <c r="CB113" i="1"/>
  <c r="AZ116" i="1"/>
  <c r="BT121" i="1"/>
  <c r="AY131" i="1"/>
  <c r="V124" i="1"/>
  <c r="CC140" i="1"/>
  <c r="AM23" i="1"/>
  <c r="AM36" i="1" s="1"/>
  <c r="BX23" i="1"/>
  <c r="AV23" i="1"/>
  <c r="AV31" i="1" s="1"/>
  <c r="AV35" i="1" s="1"/>
  <c r="AV39" i="1" s="1"/>
  <c r="AV138" i="1" s="1"/>
  <c r="AU36" i="1"/>
  <c r="AZ23" i="1"/>
  <c r="AZ120" i="1" s="1"/>
  <c r="AP140" i="1"/>
  <c r="Z141" i="1"/>
  <c r="C124" i="1"/>
  <c r="E97" i="2"/>
  <c r="BH45" i="1"/>
  <c r="CA113" i="1"/>
  <c r="AM63" i="1"/>
  <c r="L17" i="1"/>
  <c r="BR113" i="1"/>
  <c r="BH23" i="1"/>
  <c r="BH130" i="1" s="1"/>
  <c r="BV116" i="1"/>
  <c r="AB116" i="1"/>
  <c r="BO120" i="1"/>
  <c r="BD121" i="1"/>
  <c r="AV116" i="1"/>
  <c r="AM121" i="1"/>
  <c r="AX140" i="1"/>
  <c r="BO50" i="1"/>
  <c r="G23" i="1"/>
  <c r="G50" i="1" s="1"/>
  <c r="BD111" i="1"/>
  <c r="BF141" i="1"/>
  <c r="AB117" i="1"/>
  <c r="BT124" i="1"/>
  <c r="H97" i="2"/>
  <c r="AA131" i="1"/>
  <c r="BI117" i="1"/>
  <c r="BS116" i="1"/>
  <c r="AI124" i="1"/>
  <c r="BO31" i="1"/>
  <c r="BO35" i="1" s="1"/>
  <c r="BO39" i="1" s="1"/>
  <c r="S130" i="2"/>
  <c r="BX116" i="1"/>
  <c r="BB124" i="1"/>
  <c r="BM131" i="1"/>
  <c r="BQ117" i="1"/>
  <c r="BR64" i="1"/>
  <c r="AX63" i="1"/>
  <c r="N45" i="1"/>
  <c r="BB131" i="1"/>
  <c r="BC45" i="1"/>
  <c r="BC131" i="1"/>
  <c r="L140" i="1"/>
  <c r="BD124" i="1"/>
  <c r="AS124" i="1"/>
  <c r="AJ124" i="1"/>
  <c r="Z131" i="1"/>
  <c r="BB63" i="1"/>
  <c r="R121" i="1"/>
  <c r="BN117" i="1"/>
  <c r="AZ140" i="1"/>
  <c r="BR130" i="1"/>
  <c r="BX31" i="1"/>
  <c r="BX35" i="1" s="1"/>
  <c r="BX39" i="1" s="1"/>
  <c r="BZ131" i="1"/>
  <c r="BF113" i="1"/>
  <c r="BL23" i="1"/>
  <c r="BL120" i="1" s="1"/>
  <c r="BM113" i="1"/>
  <c r="BI113" i="1"/>
  <c r="AU31" i="1"/>
  <c r="AU35" i="1" s="1"/>
  <c r="AU39" i="1" s="1"/>
  <c r="BN131" i="1"/>
  <c r="BJ130" i="1"/>
  <c r="BJ111" i="1"/>
  <c r="AU50" i="1"/>
  <c r="BR132" i="1"/>
  <c r="BL116" i="1"/>
  <c r="O153" i="2"/>
  <c r="AU130" i="1"/>
  <c r="AT113" i="1"/>
  <c r="BX63" i="1"/>
  <c r="H136" i="2"/>
  <c r="H142" i="2" s="1"/>
  <c r="F11" i="2"/>
  <c r="F116" i="2" s="1"/>
  <c r="M23" i="1"/>
  <c r="M130" i="1" s="1"/>
  <c r="I124" i="1"/>
  <c r="BV36" i="1"/>
  <c r="Y124" i="1"/>
  <c r="AR50" i="1"/>
  <c r="BD117" i="1"/>
  <c r="BZ121" i="1"/>
  <c r="AR31" i="1"/>
  <c r="AR35" i="1" s="1"/>
  <c r="AR39" i="1" s="1"/>
  <c r="AK120" i="1"/>
  <c r="BX121" i="1"/>
  <c r="BW124" i="1"/>
  <c r="BR117" i="1"/>
  <c r="AR130" i="1"/>
  <c r="Q112" i="2"/>
  <c r="Q111" i="2" s="1"/>
  <c r="Q115" i="2"/>
  <c r="BP117" i="1"/>
  <c r="BK111" i="1"/>
  <c r="AP45" i="1"/>
  <c r="R23" i="1"/>
  <c r="R50" i="1" s="1"/>
  <c r="BJ45" i="1"/>
  <c r="BB23" i="1"/>
  <c r="BB36" i="1" s="1"/>
  <c r="BO116" i="1"/>
  <c r="BQ124" i="1"/>
  <c r="J112" i="2"/>
  <c r="J111" i="2" s="1"/>
  <c r="O45" i="1"/>
  <c r="BE113" i="1"/>
  <c r="G121" i="1"/>
  <c r="BB45" i="1"/>
  <c r="BT131" i="1"/>
  <c r="AK124" i="1"/>
  <c r="AG23" i="1"/>
  <c r="AG36" i="1" s="1"/>
  <c r="BY23" i="1"/>
  <c r="BY36" i="1" s="1"/>
  <c r="BI23" i="1"/>
  <c r="BI50" i="1" s="1"/>
  <c r="BA45" i="1"/>
  <c r="AS23" i="1"/>
  <c r="AS50" i="1" s="1"/>
  <c r="BE141" i="1"/>
  <c r="Y141" i="1"/>
  <c r="BA63" i="1"/>
  <c r="BT113" i="1"/>
  <c r="O121" i="1"/>
  <c r="BE36" i="1"/>
  <c r="Q58" i="2"/>
  <c r="AO140" i="1"/>
  <c r="AW141" i="1"/>
  <c r="AL113" i="1"/>
  <c r="AR124" i="1"/>
  <c r="AG124" i="1"/>
  <c r="K58" i="2"/>
  <c r="BH131" i="1"/>
  <c r="BD131" i="1"/>
  <c r="AQ124" i="1"/>
  <c r="BR124" i="1"/>
  <c r="BU45" i="1"/>
  <c r="AV50" i="1"/>
  <c r="BA131" i="1"/>
  <c r="R98" i="2"/>
  <c r="BI131" i="1"/>
  <c r="BF117" i="1"/>
  <c r="AH117" i="1"/>
  <c r="K36" i="1"/>
  <c r="BU121" i="1"/>
  <c r="AF124" i="1"/>
  <c r="M124" i="1"/>
  <c r="O99" i="2"/>
  <c r="BI63" i="1"/>
  <c r="BQ131" i="1"/>
  <c r="BF23" i="1"/>
  <c r="BF36" i="1" s="1"/>
  <c r="BU131" i="1"/>
  <c r="I141" i="1"/>
  <c r="AO113" i="1"/>
  <c r="BI124" i="1"/>
  <c r="G78" i="2"/>
  <c r="G96" i="2" s="1"/>
  <c r="BW113" i="1"/>
  <c r="BT50" i="1"/>
  <c r="BT63" i="1"/>
  <c r="H124" i="1"/>
  <c r="T99" i="2"/>
  <c r="D31" i="1"/>
  <c r="D35" i="1" s="1"/>
  <c r="D122" i="1" s="1"/>
  <c r="D36" i="1"/>
  <c r="D130" i="1"/>
  <c r="BB50" i="1"/>
  <c r="BD36" i="1"/>
  <c r="BD31" i="1"/>
  <c r="BD35" i="1" s="1"/>
  <c r="BD120" i="1"/>
  <c r="BD130" i="1"/>
  <c r="BD62" i="1"/>
  <c r="AH23" i="1"/>
  <c r="AH36" i="1" s="1"/>
  <c r="AH45" i="1"/>
  <c r="AA23" i="1"/>
  <c r="AA36" i="1" s="1"/>
  <c r="AA45" i="1"/>
  <c r="M120" i="1"/>
  <c r="D116" i="1"/>
  <c r="M136" i="2"/>
  <c r="M142" i="2" s="1"/>
  <c r="BZ43" i="1"/>
  <c r="BH50" i="1"/>
  <c r="AW50" i="1"/>
  <c r="BD50" i="1"/>
  <c r="C17" i="1"/>
  <c r="C45" i="1" s="1"/>
  <c r="BM121" i="1"/>
  <c r="H17" i="1"/>
  <c r="H23" i="1" s="1"/>
  <c r="H120" i="1" s="1"/>
  <c r="D17" i="2"/>
  <c r="BD45" i="1"/>
  <c r="AS63" i="1"/>
  <c r="AL45" i="1"/>
  <c r="AH116" i="1"/>
  <c r="T141" i="1"/>
  <c r="BW116" i="1"/>
  <c r="AP23" i="1"/>
  <c r="AP50" i="1" s="1"/>
  <c r="BH121" i="1"/>
  <c r="BP113" i="1"/>
  <c r="AT117" i="1"/>
  <c r="AV124" i="1"/>
  <c r="AA116" i="1"/>
  <c r="O98" i="2"/>
  <c r="L97" i="2"/>
  <c r="BM124" i="1"/>
  <c r="BH36" i="1"/>
  <c r="AS45" i="1"/>
  <c r="AW31" i="1"/>
  <c r="AW35" i="1" s="1"/>
  <c r="AW43" i="1" s="1"/>
  <c r="AW36" i="1"/>
  <c r="N23" i="1"/>
  <c r="N50" i="1" s="1"/>
  <c r="AQ113" i="1"/>
  <c r="BZ55" i="1"/>
  <c r="C117" i="1"/>
  <c r="AR140" i="1"/>
  <c r="AP116" i="1"/>
  <c r="AH131" i="1"/>
  <c r="J124" i="1"/>
  <c r="D131" i="1"/>
  <c r="H116" i="1"/>
  <c r="BI45" i="1"/>
  <c r="K120" i="1"/>
  <c r="AL121" i="1"/>
  <c r="AU62" i="1"/>
  <c r="AH124" i="1"/>
  <c r="BW140" i="1"/>
  <c r="AC140" i="1"/>
  <c r="BL45" i="1"/>
  <c r="G140" i="1"/>
  <c r="AD116" i="1"/>
  <c r="AA117" i="1"/>
  <c r="AQ140" i="1"/>
  <c r="AY141" i="1"/>
  <c r="AP63" i="1"/>
  <c r="U98" i="2"/>
  <c r="BW23" i="1"/>
  <c r="BW36" i="1" s="1"/>
  <c r="BG36" i="1"/>
  <c r="AY45" i="1"/>
  <c r="AQ45" i="1"/>
  <c r="Y31" i="1"/>
  <c r="Y35" i="1" s="1"/>
  <c r="Y122" i="1" s="1"/>
  <c r="Y36" i="1"/>
  <c r="E121" i="1"/>
  <c r="AK141" i="1"/>
  <c r="L121" i="1"/>
  <c r="BA124" i="1"/>
  <c r="AL63" i="1"/>
  <c r="Y45" i="1"/>
  <c r="AT23" i="1"/>
  <c r="AT31" i="1" s="1"/>
  <c r="AT35" i="1" s="1"/>
  <c r="AT39" i="1" s="1"/>
  <c r="BL121" i="1"/>
  <c r="M140" i="1"/>
  <c r="AX113" i="1"/>
  <c r="BG140" i="1"/>
  <c r="BJ124" i="1"/>
  <c r="Q53" i="2"/>
  <c r="BR122" i="1"/>
  <c r="BR39" i="1"/>
  <c r="BR53" i="1" s="1"/>
  <c r="BU36" i="1"/>
  <c r="BZ141" i="1"/>
  <c r="CC117" i="1"/>
  <c r="CC23" i="1"/>
  <c r="CC31" i="1" s="1"/>
  <c r="AW120" i="1"/>
  <c r="BW117" i="1"/>
  <c r="AW63" i="1"/>
  <c r="F141" i="1"/>
  <c r="AD121" i="1"/>
  <c r="BX50" i="1"/>
  <c r="AD124" i="1"/>
  <c r="AP113" i="1"/>
  <c r="P117" i="1"/>
  <c r="X117" i="1"/>
  <c r="AW131" i="1"/>
  <c r="BJ31" i="1"/>
  <c r="BJ35" i="1" s="1"/>
  <c r="BJ39" i="1" s="1"/>
  <c r="BJ36" i="1"/>
  <c r="J45" i="1"/>
  <c r="BC124" i="1"/>
  <c r="BQ132" i="1"/>
  <c r="BQ39" i="1"/>
  <c r="BV140" i="1"/>
  <c r="AZ62" i="1"/>
  <c r="AZ36" i="1"/>
  <c r="AH121" i="1"/>
  <c r="I136" i="2"/>
  <c r="I142" i="2" s="1"/>
  <c r="T45" i="1"/>
  <c r="BH31" i="1"/>
  <c r="BH35" i="1" s="1"/>
  <c r="BH39" i="1" s="1"/>
  <c r="AW62" i="1"/>
  <c r="AJ141" i="1"/>
  <c r="AY111" i="1"/>
  <c r="R45" i="1"/>
  <c r="AW124" i="1"/>
  <c r="BO141" i="1"/>
  <c r="P116" i="1"/>
  <c r="P124" i="1"/>
  <c r="D124" i="1"/>
  <c r="AX36" i="1"/>
  <c r="E45" i="1"/>
  <c r="BZ120" i="1"/>
  <c r="BZ36" i="1"/>
  <c r="AJ23" i="1"/>
  <c r="AJ36" i="1" s="1"/>
  <c r="AB23" i="1"/>
  <c r="AB36" i="1" s="1"/>
  <c r="L23" i="1"/>
  <c r="L36" i="1" s="1"/>
  <c r="D45" i="1"/>
  <c r="AW130" i="1"/>
  <c r="BX141" i="1"/>
  <c r="BP140" i="1"/>
  <c r="I23" i="1"/>
  <c r="AB140" i="1"/>
  <c r="AP131" i="1"/>
  <c r="X121" i="1"/>
  <c r="AD117" i="1"/>
  <c r="AP124" i="1"/>
  <c r="Q99" i="2"/>
  <c r="AT131" i="1"/>
  <c r="O124" i="2"/>
  <c r="R78" i="2"/>
  <c r="T29" i="2"/>
  <c r="T131" i="2" s="1"/>
  <c r="E78" i="2"/>
  <c r="E96" i="2" s="1"/>
  <c r="L117" i="2"/>
  <c r="D11" i="2"/>
  <c r="D117" i="2" s="1"/>
  <c r="F29" i="2"/>
  <c r="F131" i="2" s="1"/>
  <c r="I29" i="2"/>
  <c r="K11" i="2"/>
  <c r="K116" i="2" s="1"/>
  <c r="N78" i="2"/>
  <c r="N96" i="2" s="1"/>
  <c r="L124" i="2"/>
  <c r="S78" i="2"/>
  <c r="O29" i="2"/>
  <c r="O50" i="2" s="1"/>
  <c r="S29" i="2"/>
  <c r="S36" i="2" s="1"/>
  <c r="BL53" i="1"/>
  <c r="P58" i="2"/>
  <c r="Q124" i="2"/>
  <c r="S117" i="2"/>
  <c r="AU132" i="1"/>
  <c r="AU64" i="1"/>
  <c r="AD45" i="1"/>
  <c r="AD23" i="1"/>
  <c r="AD36" i="1" s="1"/>
  <c r="BG130" i="1"/>
  <c r="BG120" i="1"/>
  <c r="BG62" i="1"/>
  <c r="BG31" i="1"/>
  <c r="BG35" i="1" s="1"/>
  <c r="BG39" i="1" s="1"/>
  <c r="S23" i="1"/>
  <c r="S36" i="1" s="1"/>
  <c r="S45" i="1"/>
  <c r="AE31" i="1"/>
  <c r="AE35" i="1" s="1"/>
  <c r="AE39" i="1" s="1"/>
  <c r="AE120" i="1"/>
  <c r="AE130" i="1"/>
  <c r="AE50" i="1"/>
  <c r="AA31" i="1"/>
  <c r="AA35" i="1" s="1"/>
  <c r="AA39" i="1" s="1"/>
  <c r="BP55" i="1"/>
  <c r="BP122" i="1"/>
  <c r="BP64" i="1"/>
  <c r="BP43" i="1"/>
  <c r="BX43" i="1"/>
  <c r="Q45" i="1"/>
  <c r="Q23" i="1"/>
  <c r="Q36" i="1" s="1"/>
  <c r="BN64" i="1"/>
  <c r="BN43" i="1"/>
  <c r="BN122" i="1"/>
  <c r="BN55" i="1"/>
  <c r="BN138" i="1"/>
  <c r="BN132" i="1"/>
  <c r="BE31" i="1"/>
  <c r="BE35" i="1" s="1"/>
  <c r="BE39" i="1" s="1"/>
  <c r="BE62" i="1"/>
  <c r="BE130" i="1"/>
  <c r="BE50" i="1"/>
  <c r="BE120" i="1"/>
  <c r="Y130" i="1"/>
  <c r="D38" i="1"/>
  <c r="D55" i="1" s="1"/>
  <c r="H125" i="2"/>
  <c r="T116" i="1"/>
  <c r="J117" i="1"/>
  <c r="AE124" i="1"/>
  <c r="BQ122" i="1"/>
  <c r="BE124" i="1"/>
  <c r="BA113" i="1"/>
  <c r="AU111" i="1"/>
  <c r="E23" i="1"/>
  <c r="E36" i="1" s="1"/>
  <c r="BA23" i="1"/>
  <c r="BA36" i="1" s="1"/>
  <c r="AQ121" i="1"/>
  <c r="Q141" i="1"/>
  <c r="F121" i="1"/>
  <c r="BH124" i="1"/>
  <c r="AN124" i="1"/>
  <c r="AQ23" i="1"/>
  <c r="T98" i="2"/>
  <c r="BF45" i="1"/>
  <c r="BM116" i="1"/>
  <c r="T124" i="1"/>
  <c r="BQ64" i="1"/>
  <c r="BE116" i="1"/>
  <c r="CA140" i="1"/>
  <c r="F45" i="1"/>
  <c r="BS124" i="1"/>
  <c r="AD140" i="1"/>
  <c r="AJ131" i="1"/>
  <c r="N58" i="2"/>
  <c r="G124" i="1"/>
  <c r="AW45" i="1"/>
  <c r="D120" i="1"/>
  <c r="BM23" i="1"/>
  <c r="BM36" i="1" s="1"/>
  <c r="X141" i="1"/>
  <c r="L45" i="1"/>
  <c r="X124" i="1"/>
  <c r="AT63" i="1"/>
  <c r="BE117" i="1"/>
  <c r="AE45" i="1"/>
  <c r="AJ45" i="1"/>
  <c r="E116" i="1"/>
  <c r="S124" i="1"/>
  <c r="AN117" i="1"/>
  <c r="Q98" i="2"/>
  <c r="N98" i="2"/>
  <c r="U99" i="2"/>
  <c r="V99" i="2" s="1"/>
  <c r="AG45" i="1"/>
  <c r="BT45" i="1"/>
  <c r="BW45" i="1"/>
  <c r="Y120" i="1"/>
  <c r="D50" i="1"/>
  <c r="O23" i="1"/>
  <c r="O50" i="1" s="1"/>
  <c r="X116" i="1"/>
  <c r="G45" i="1"/>
  <c r="AT45" i="1"/>
  <c r="AZ124" i="1"/>
  <c r="BU116" i="1"/>
  <c r="BX111" i="1"/>
  <c r="AU124" i="1"/>
  <c r="E117" i="1"/>
  <c r="M121" i="1"/>
  <c r="BC117" i="1"/>
  <c r="Q117" i="1"/>
  <c r="AW113" i="1"/>
  <c r="BP124" i="1"/>
  <c r="R99" i="2"/>
  <c r="P98" i="2"/>
  <c r="N99" i="2"/>
  <c r="J11" i="2"/>
  <c r="J117" i="2" s="1"/>
  <c r="BU124" i="1"/>
  <c r="BX124" i="1"/>
  <c r="C121" i="1"/>
  <c r="N125" i="2"/>
  <c r="BY31" i="1"/>
  <c r="BY35" i="1" s="1"/>
  <c r="BY39" i="1" s="1"/>
  <c r="B78" i="2"/>
  <c r="B96" i="2" s="1"/>
  <c r="AJ121" i="1"/>
  <c r="J23" i="1"/>
  <c r="J36" i="1" s="1"/>
  <c r="AT121" i="1"/>
  <c r="BG45" i="1"/>
  <c r="BU117" i="1"/>
  <c r="BO124" i="1"/>
  <c r="AN113" i="1"/>
  <c r="AY23" i="1"/>
  <c r="AY36" i="1" s="1"/>
  <c r="CA23" i="1"/>
  <c r="CA36" i="1" s="1"/>
  <c r="BP132" i="1"/>
  <c r="BC23" i="1"/>
  <c r="BC36" i="1" s="1"/>
  <c r="BL137" i="1"/>
  <c r="AS140" i="1"/>
  <c r="BN113" i="1"/>
  <c r="J116" i="1"/>
  <c r="R124" i="1"/>
  <c r="BQ55" i="1"/>
  <c r="AT124" i="1"/>
  <c r="T117" i="1"/>
  <c r="BA117" i="1"/>
  <c r="BV63" i="1"/>
  <c r="BM117" i="1"/>
  <c r="AQ131" i="1"/>
  <c r="BH111" i="1"/>
  <c r="Q124" i="1"/>
  <c r="BL124" i="1"/>
  <c r="G125" i="2"/>
  <c r="S98" i="2"/>
  <c r="R125" i="2"/>
  <c r="BF124" i="1"/>
  <c r="Y50" i="1"/>
  <c r="BL131" i="1"/>
  <c r="BV131" i="1"/>
  <c r="BN124" i="1"/>
  <c r="BC116" i="1"/>
  <c r="I115" i="2"/>
  <c r="O136" i="2"/>
  <c r="O142" i="2" s="1"/>
  <c r="G11" i="2"/>
  <c r="G116" i="2" s="1"/>
  <c r="R132" i="2"/>
  <c r="D153" i="2"/>
  <c r="C11" i="2"/>
  <c r="C117" i="2" s="1"/>
  <c r="G97" i="2"/>
  <c r="G20" i="2"/>
  <c r="M20" i="2"/>
  <c r="N29" i="2"/>
  <c r="N36" i="2" s="1"/>
  <c r="B20" i="2"/>
  <c r="V20" i="2" s="1"/>
  <c r="O125" i="2"/>
  <c r="I125" i="2"/>
  <c r="D125" i="2"/>
  <c r="T153" i="2"/>
  <c r="M115" i="2"/>
  <c r="D97" i="2"/>
  <c r="G29" i="2"/>
  <c r="G121" i="2" s="1"/>
  <c r="M11" i="2"/>
  <c r="M124" i="2" s="1"/>
  <c r="K125" i="2"/>
  <c r="T136" i="2"/>
  <c r="T142" i="2" s="1"/>
  <c r="I140" i="2"/>
  <c r="R130" i="2"/>
  <c r="N20" i="2"/>
  <c r="M140" i="2"/>
  <c r="B136" i="2"/>
  <c r="B142" i="2" s="1"/>
  <c r="E136" i="2"/>
  <c r="E142" i="2" s="1"/>
  <c r="I78" i="2"/>
  <c r="P78" i="2"/>
  <c r="P96" i="2" s="1"/>
  <c r="R117" i="2"/>
  <c r="Q138" i="2"/>
  <c r="D115" i="2"/>
  <c r="P136" i="2"/>
  <c r="P141" i="2" s="1"/>
  <c r="F136" i="2"/>
  <c r="F142" i="2" s="1"/>
  <c r="E29" i="2"/>
  <c r="E131" i="2" s="1"/>
  <c r="J29" i="2"/>
  <c r="J131" i="2" s="1"/>
  <c r="L29" i="2"/>
  <c r="L36" i="2" s="1"/>
  <c r="M78" i="2"/>
  <c r="M61" i="2" s="1"/>
  <c r="C125" i="2"/>
  <c r="P125" i="2"/>
  <c r="H78" i="2"/>
  <c r="H153" i="2"/>
  <c r="N112" i="2"/>
  <c r="N113" i="2" s="1"/>
  <c r="F153" i="2"/>
  <c r="S58" i="2"/>
  <c r="S125" i="2"/>
  <c r="M125" i="2"/>
  <c r="R86" i="2"/>
  <c r="L153" i="2"/>
  <c r="L115" i="2"/>
  <c r="K78" i="2"/>
  <c r="K61" i="2" s="1"/>
  <c r="T97" i="2"/>
  <c r="O86" i="2"/>
  <c r="U96" i="2"/>
  <c r="V96" i="2" s="1"/>
  <c r="D29" i="2"/>
  <c r="D131" i="2" s="1"/>
  <c r="K153" i="2"/>
  <c r="N153" i="2"/>
  <c r="K115" i="2"/>
  <c r="V140" i="2"/>
  <c r="Q78" i="2"/>
  <c r="Q61" i="2" s="1"/>
  <c r="K97" i="2"/>
  <c r="G115" i="2"/>
  <c r="E153" i="2"/>
  <c r="F140" i="2"/>
  <c r="E115" i="2"/>
  <c r="M153" i="2"/>
  <c r="B97" i="2"/>
  <c r="F20" i="2"/>
  <c r="I20" i="2"/>
  <c r="O20" i="2"/>
  <c r="O45" i="2" s="1"/>
  <c r="B115" i="2"/>
  <c r="V115" i="2" s="1"/>
  <c r="T58" i="2"/>
  <c r="S153" i="2"/>
  <c r="L116" i="2"/>
  <c r="K136" i="2"/>
  <c r="U31" i="2"/>
  <c r="U35" i="2" s="1"/>
  <c r="U39" i="2" s="1"/>
  <c r="U50" i="2"/>
  <c r="U45" i="2"/>
  <c r="M29" i="2"/>
  <c r="M131" i="2" s="1"/>
  <c r="U112" i="2"/>
  <c r="U111" i="2" s="1"/>
  <c r="V111" i="2" s="1"/>
  <c r="P153" i="2"/>
  <c r="O97" i="2"/>
  <c r="F115" i="2"/>
  <c r="C115" i="2"/>
  <c r="C20" i="2"/>
  <c r="E20" i="2"/>
  <c r="H20" i="2"/>
  <c r="L20" i="2"/>
  <c r="B11" i="2"/>
  <c r="B116" i="2" s="1"/>
  <c r="V116" i="2" s="1"/>
  <c r="R153" i="2"/>
  <c r="P20" i="2"/>
  <c r="P45" i="2" s="1"/>
  <c r="D20" i="2"/>
  <c r="M97" i="2"/>
  <c r="B29" i="2"/>
  <c r="B131" i="2" s="1"/>
  <c r="S136" i="2"/>
  <c r="C29" i="2"/>
  <c r="C121" i="2" s="1"/>
  <c r="E11" i="2"/>
  <c r="E117" i="2" s="1"/>
  <c r="H29" i="2"/>
  <c r="H121" i="2" s="1"/>
  <c r="J20" i="2"/>
  <c r="V18" i="2"/>
  <c r="CD120" i="1"/>
  <c r="G153" i="2"/>
  <c r="J136" i="2"/>
  <c r="J142" i="2" s="1"/>
  <c r="N136" i="2"/>
  <c r="N142" i="2" s="1"/>
  <c r="C136" i="2"/>
  <c r="C142" i="2" s="1"/>
  <c r="G136" i="2"/>
  <c r="G142" i="2" s="1"/>
  <c r="V21" i="2"/>
  <c r="B125" i="2"/>
  <c r="V125" i="2" s="1"/>
  <c r="P112" i="2"/>
  <c r="P113" i="2" s="1"/>
  <c r="H115" i="2"/>
  <c r="R115" i="2"/>
  <c r="I11" i="2"/>
  <c r="I124" i="2" s="1"/>
  <c r="N115" i="2"/>
  <c r="T112" i="2"/>
  <c r="T113" i="2" s="1"/>
  <c r="N97" i="2"/>
  <c r="O112" i="2"/>
  <c r="O113" i="2" s="1"/>
  <c r="S86" i="2"/>
  <c r="S112" i="2"/>
  <c r="S111" i="2" s="1"/>
  <c r="Q125" i="2"/>
  <c r="M112" i="2"/>
  <c r="M113" i="2" s="1"/>
  <c r="P86" i="2"/>
  <c r="J153" i="2"/>
  <c r="K29" i="2"/>
  <c r="K121" i="2" s="1"/>
  <c r="O78" i="2"/>
  <c r="O61" i="2" s="1"/>
  <c r="E125" i="2"/>
  <c r="CC45" i="1"/>
  <c r="CC131" i="1"/>
  <c r="U131" i="2"/>
  <c r="U63" i="2"/>
  <c r="U121" i="2"/>
  <c r="CC113" i="1"/>
  <c r="U143" i="2"/>
  <c r="U142" i="2"/>
  <c r="Q97" i="2"/>
  <c r="P115" i="2"/>
  <c r="Q116" i="2"/>
  <c r="Q136" i="2"/>
  <c r="J140" i="2"/>
  <c r="J125" i="2"/>
  <c r="C78" i="2"/>
  <c r="R116" i="2"/>
  <c r="P130" i="2"/>
  <c r="Q86" i="2"/>
  <c r="H11" i="2"/>
  <c r="J97" i="2"/>
  <c r="N11" i="2"/>
  <c r="S115" i="2"/>
  <c r="T86" i="2"/>
  <c r="T116" i="2"/>
  <c r="J113" i="2"/>
  <c r="T115" i="2"/>
  <c r="L125" i="2"/>
  <c r="N114" i="2"/>
  <c r="V114" i="2" s="1"/>
  <c r="F97" i="2"/>
  <c r="J115" i="2"/>
  <c r="Q45" i="2"/>
  <c r="D136" i="2"/>
  <c r="D142" i="2" s="1"/>
  <c r="M58" i="2"/>
  <c r="P124" i="2"/>
  <c r="N61" i="2"/>
  <c r="O114" i="2"/>
  <c r="R45" i="2"/>
  <c r="P116" i="2"/>
  <c r="J78" i="2"/>
  <c r="P131" i="2"/>
  <c r="I97" i="2"/>
  <c r="L78" i="2"/>
  <c r="Q153" i="2"/>
  <c r="I153" i="2"/>
  <c r="F125" i="2"/>
  <c r="O115" i="2"/>
  <c r="CC124" i="1"/>
  <c r="CC63" i="1"/>
  <c r="CD130" i="1"/>
  <c r="I121" i="2"/>
  <c r="I131" i="2"/>
  <c r="AJ113" i="1"/>
  <c r="AJ111" i="1"/>
  <c r="AR113" i="1"/>
  <c r="AR111" i="1"/>
  <c r="BL111" i="1"/>
  <c r="BL113" i="1"/>
  <c r="R124" i="2"/>
  <c r="S124" i="2"/>
  <c r="F78" i="2"/>
  <c r="BH43" i="1"/>
  <c r="BZ122" i="1"/>
  <c r="BZ132" i="1"/>
  <c r="BZ64" i="1"/>
  <c r="BU31" i="1"/>
  <c r="BU35" i="1" s="1"/>
  <c r="BU39" i="1" s="1"/>
  <c r="BU50" i="1"/>
  <c r="BU62" i="1"/>
  <c r="BU130" i="1"/>
  <c r="BU120" i="1"/>
  <c r="O117" i="2"/>
  <c r="O116" i="2"/>
  <c r="AL116" i="1"/>
  <c r="AL124" i="1"/>
  <c r="AL23" i="1"/>
  <c r="AL36" i="1" s="1"/>
  <c r="AL117" i="1"/>
  <c r="K131" i="1"/>
  <c r="K121" i="1"/>
  <c r="K45" i="1"/>
  <c r="K50" i="1"/>
  <c r="K31" i="1"/>
  <c r="K35" i="1" s="1"/>
  <c r="H31" i="1"/>
  <c r="H35" i="1" s="1"/>
  <c r="AH120" i="1"/>
  <c r="AH31" i="1"/>
  <c r="AH35" i="1" s="1"/>
  <c r="AH39" i="1" s="1"/>
  <c r="P45" i="1"/>
  <c r="P23" i="1"/>
  <c r="P36" i="1" s="1"/>
  <c r="E17" i="2"/>
  <c r="T131" i="1"/>
  <c r="T121" i="1"/>
  <c r="BX122" i="1"/>
  <c r="T23" i="1"/>
  <c r="AU55" i="1"/>
  <c r="AU122" i="1"/>
  <c r="J120" i="1"/>
  <c r="J31" i="1"/>
  <c r="J35" i="1" s="1"/>
  <c r="J130" i="1"/>
  <c r="AV64" i="1"/>
  <c r="AU45" i="1"/>
  <c r="AU121" i="1"/>
  <c r="AU131" i="1"/>
  <c r="AU63" i="1"/>
  <c r="AR63" i="1"/>
  <c r="AR121" i="1"/>
  <c r="AR131" i="1"/>
  <c r="AR45" i="1"/>
  <c r="AO124" i="1"/>
  <c r="AO116" i="1"/>
  <c r="AO23" i="1"/>
  <c r="AO36" i="1" s="1"/>
  <c r="AO117" i="1"/>
  <c r="AN23" i="1"/>
  <c r="AN36" i="1" s="1"/>
  <c r="AN45" i="1"/>
  <c r="X23" i="1"/>
  <c r="X36" i="1" s="1"/>
  <c r="X45" i="1"/>
  <c r="R130" i="1"/>
  <c r="BN53" i="1"/>
  <c r="BN137" i="1"/>
  <c r="BN44" i="1"/>
  <c r="BO55" i="1"/>
  <c r="BO43" i="1"/>
  <c r="BO64" i="1"/>
  <c r="BO122" i="1"/>
  <c r="BO132" i="1"/>
  <c r="BQ141" i="1"/>
  <c r="BQ140" i="1"/>
  <c r="D73" i="2"/>
  <c r="O124" i="1"/>
  <c r="T73" i="2"/>
  <c r="BZ124" i="1"/>
  <c r="CA124" i="1"/>
  <c r="AR120" i="1"/>
  <c r="AR62" i="1"/>
  <c r="AK130" i="1"/>
  <c r="AK62" i="1"/>
  <c r="L58" i="2"/>
  <c r="L112" i="2"/>
  <c r="K112" i="2"/>
  <c r="O131" i="2"/>
  <c r="AK50" i="1"/>
  <c r="BL43" i="1"/>
  <c r="BL50" i="1"/>
  <c r="BL130" i="1"/>
  <c r="BL62" i="1"/>
  <c r="E140" i="1"/>
  <c r="E141" i="1"/>
  <c r="BH140" i="1"/>
  <c r="BH141" i="1"/>
  <c r="BM141" i="1"/>
  <c r="BM140" i="1"/>
  <c r="AZ121" i="1"/>
  <c r="AZ45" i="1"/>
  <c r="AZ63" i="1"/>
  <c r="AZ50" i="1"/>
  <c r="AZ131" i="1"/>
  <c r="AZ31" i="1"/>
  <c r="AZ35" i="1" s="1"/>
  <c r="AZ39" i="1" s="1"/>
  <c r="BY45" i="1"/>
  <c r="BY63" i="1"/>
  <c r="BY121" i="1"/>
  <c r="AK31" i="1"/>
  <c r="AK35" i="1" s="1"/>
  <c r="AK39" i="1" s="1"/>
  <c r="R140" i="2"/>
  <c r="R136" i="2"/>
  <c r="BY131" i="1"/>
  <c r="R31" i="1"/>
  <c r="R35" i="1" s="1"/>
  <c r="R120" i="1"/>
  <c r="O130" i="1"/>
  <c r="W45" i="1"/>
  <c r="U31" i="1"/>
  <c r="U35" i="1" s="1"/>
  <c r="U39" i="1" s="1"/>
  <c r="U130" i="1"/>
  <c r="U120" i="1"/>
  <c r="U50" i="1"/>
  <c r="H131" i="1"/>
  <c r="H121" i="1"/>
  <c r="AX116" i="1"/>
  <c r="AR117" i="1"/>
  <c r="AR116" i="1"/>
  <c r="N121" i="1"/>
  <c r="N131" i="1"/>
  <c r="BV45" i="1"/>
  <c r="AD31" i="1"/>
  <c r="AD35" i="1" s="1"/>
  <c r="AD39" i="1" s="1"/>
  <c r="AS111" i="1"/>
  <c r="AS113" i="1"/>
  <c r="L124" i="1"/>
  <c r="BL140" i="1"/>
  <c r="BL141" i="1"/>
  <c r="AX31" i="1"/>
  <c r="AX35" i="1" s="1"/>
  <c r="AX39" i="1" s="1"/>
  <c r="AX50" i="1"/>
  <c r="AX120" i="1"/>
  <c r="AX130" i="1"/>
  <c r="U117" i="1"/>
  <c r="U116" i="1"/>
  <c r="U124" i="1"/>
  <c r="N117" i="1"/>
  <c r="N124" i="1"/>
  <c r="AJ31" i="1"/>
  <c r="AJ35" i="1" s="1"/>
  <c r="AJ39" i="1" s="1"/>
  <c r="AJ50" i="1"/>
  <c r="AJ62" i="1"/>
  <c r="BC111" i="1"/>
  <c r="BC113" i="1"/>
  <c r="AA124" i="1"/>
  <c r="AB124" i="1"/>
  <c r="AT140" i="1"/>
  <c r="AT141" i="1"/>
  <c r="BK117" i="1"/>
  <c r="BK116" i="1"/>
  <c r="BK23" i="1"/>
  <c r="BK36" i="1" s="1"/>
  <c r="BK124" i="1"/>
  <c r="AC17" i="1"/>
  <c r="AC23" i="1" s="1"/>
  <c r="AC36" i="1" s="1"/>
  <c r="AC116" i="1"/>
  <c r="AC117" i="1"/>
  <c r="AC124" i="1"/>
  <c r="CB117" i="1"/>
  <c r="CB23" i="1"/>
  <c r="F23" i="1"/>
  <c r="F36" i="1" s="1"/>
  <c r="BB111" i="1"/>
  <c r="BQ113" i="1"/>
  <c r="BQ111" i="1"/>
  <c r="BO62" i="1"/>
  <c r="BO130" i="1"/>
  <c r="BG63" i="1"/>
  <c r="BG50" i="1"/>
  <c r="BG131" i="1"/>
  <c r="AF116" i="1"/>
  <c r="AF17" i="1"/>
  <c r="AF117" i="1"/>
  <c r="AB45" i="1"/>
  <c r="AB131" i="1"/>
  <c r="W131" i="1"/>
  <c r="W121" i="1"/>
  <c r="CA121" i="1"/>
  <c r="CA63" i="1"/>
  <c r="CA45" i="1"/>
  <c r="AI111" i="1"/>
  <c r="AI113" i="1"/>
  <c r="BG111" i="1"/>
  <c r="BG113" i="1"/>
  <c r="BO113" i="1"/>
  <c r="BO111" i="1"/>
  <c r="P99" i="2"/>
  <c r="R58" i="2"/>
  <c r="R112" i="2"/>
  <c r="AG140" i="1"/>
  <c r="AG141" i="1"/>
  <c r="AI131" i="1"/>
  <c r="AI63" i="1"/>
  <c r="AI121" i="1"/>
  <c r="AE131" i="1"/>
  <c r="AE121" i="1"/>
  <c r="W117" i="1"/>
  <c r="W116" i="1"/>
  <c r="W23" i="1"/>
  <c r="W36" i="1" s="1"/>
  <c r="W124" i="1"/>
  <c r="U45" i="1"/>
  <c r="E124" i="1"/>
  <c r="O141" i="1"/>
  <c r="O140" i="1"/>
  <c r="AH140" i="1"/>
  <c r="AH141" i="1"/>
  <c r="AO121" i="1"/>
  <c r="AO131" i="1"/>
  <c r="AI117" i="1"/>
  <c r="AI17" i="1"/>
  <c r="AI116" i="1"/>
  <c r="S99" i="2"/>
  <c r="S116" i="2"/>
  <c r="AO45" i="1"/>
  <c r="V17" i="1"/>
  <c r="V45" i="1" s="1"/>
  <c r="BZ111" i="1"/>
  <c r="CC116" i="1"/>
  <c r="AZ130" i="1"/>
  <c r="Z17" i="1"/>
  <c r="Z45" i="1" s="1"/>
  <c r="M31" i="1"/>
  <c r="M35" i="1" s="1"/>
  <c r="AZ113" i="1"/>
  <c r="O121" i="2" l="1"/>
  <c r="K124" i="2"/>
  <c r="V78" i="2"/>
  <c r="G120" i="1"/>
  <c r="H130" i="1"/>
  <c r="AD130" i="1"/>
  <c r="AM62" i="1"/>
  <c r="G130" i="1"/>
  <c r="AU43" i="1"/>
  <c r="BV50" i="1"/>
  <c r="AS31" i="1"/>
  <c r="AS35" i="1" s="1"/>
  <c r="R36" i="1"/>
  <c r="AM120" i="1"/>
  <c r="BV62" i="1"/>
  <c r="BX64" i="1"/>
  <c r="H45" i="1"/>
  <c r="BV31" i="1"/>
  <c r="BV35" i="1" s="1"/>
  <c r="G36" i="1"/>
  <c r="G31" i="1"/>
  <c r="G35" i="1" s="1"/>
  <c r="G132" i="1" s="1"/>
  <c r="AM50" i="1"/>
  <c r="BF130" i="1"/>
  <c r="O31" i="1"/>
  <c r="O35" i="1" s="1"/>
  <c r="BX132" i="1"/>
  <c r="AH130" i="1"/>
  <c r="C17" i="2"/>
  <c r="C23" i="2" s="1"/>
  <c r="C130" i="2" s="1"/>
  <c r="BB120" i="1"/>
  <c r="BV130" i="1"/>
  <c r="D116" i="2"/>
  <c r="AV43" i="1"/>
  <c r="BM31" i="1"/>
  <c r="BM35" i="1" s="1"/>
  <c r="BM39" i="1" s="1"/>
  <c r="F124" i="2"/>
  <c r="L63" i="2"/>
  <c r="AM31" i="1"/>
  <c r="AM35" i="1" s="1"/>
  <c r="AR132" i="1"/>
  <c r="H143" i="2"/>
  <c r="AA50" i="1"/>
  <c r="AV36" i="1"/>
  <c r="BX62" i="1"/>
  <c r="BX120" i="1"/>
  <c r="M116" i="2"/>
  <c r="AR64" i="1"/>
  <c r="AV130" i="1"/>
  <c r="AV137" i="1"/>
  <c r="AV132" i="1"/>
  <c r="AR43" i="1"/>
  <c r="BX55" i="1"/>
  <c r="AV44" i="1"/>
  <c r="BX130" i="1"/>
  <c r="AA130" i="1"/>
  <c r="AA120" i="1"/>
  <c r="Q50" i="1"/>
  <c r="AV122" i="1"/>
  <c r="BX36" i="1"/>
  <c r="AV120" i="1"/>
  <c r="AM130" i="1"/>
  <c r="AV53" i="1"/>
  <c r="BH62" i="1"/>
  <c r="BH120" i="1"/>
  <c r="AV55" i="1"/>
  <c r="BY50" i="1"/>
  <c r="AV62" i="1"/>
  <c r="F117" i="2"/>
  <c r="AT50" i="1"/>
  <c r="AR122" i="1"/>
  <c r="Q31" i="1"/>
  <c r="Q35" i="1" s="1"/>
  <c r="Q38" i="1" s="1"/>
  <c r="Q55" i="1" s="1"/>
  <c r="S121" i="2"/>
  <c r="Q120" i="1"/>
  <c r="BR44" i="1"/>
  <c r="Q130" i="1"/>
  <c r="BV43" i="1"/>
  <c r="AR55" i="1"/>
  <c r="O31" i="2"/>
  <c r="O35" i="2" s="1"/>
  <c r="O39" i="2" s="1"/>
  <c r="BR137" i="1"/>
  <c r="M36" i="1"/>
  <c r="K23" i="2"/>
  <c r="K50" i="2" s="1"/>
  <c r="Y132" i="1"/>
  <c r="O63" i="2"/>
  <c r="K117" i="2"/>
  <c r="BL44" i="1"/>
  <c r="M50" i="1"/>
  <c r="Y55" i="1"/>
  <c r="BR138" i="1"/>
  <c r="O36" i="2"/>
  <c r="BL36" i="1"/>
  <c r="G117" i="2"/>
  <c r="BY62" i="1"/>
  <c r="Q96" i="2"/>
  <c r="G124" i="2"/>
  <c r="B143" i="2"/>
  <c r="V143" i="2" s="1"/>
  <c r="S63" i="2"/>
  <c r="BJ43" i="1"/>
  <c r="S131" i="2"/>
  <c r="BB62" i="1"/>
  <c r="H96" i="2"/>
  <c r="BB130" i="1"/>
  <c r="AS120" i="1"/>
  <c r="S50" i="2"/>
  <c r="BB31" i="1"/>
  <c r="BB35" i="1" s="1"/>
  <c r="BB55" i="1" s="1"/>
  <c r="AS130" i="1"/>
  <c r="D23" i="2"/>
  <c r="D36" i="2" s="1"/>
  <c r="S45" i="2"/>
  <c r="AJ130" i="1"/>
  <c r="AS36" i="1"/>
  <c r="BJ64" i="1"/>
  <c r="AJ120" i="1"/>
  <c r="AS62" i="1"/>
  <c r="V142" i="2"/>
  <c r="BY130" i="1"/>
  <c r="BY120" i="1"/>
  <c r="BF62" i="1"/>
  <c r="AW132" i="1"/>
  <c r="BW31" i="1"/>
  <c r="BW35" i="1" s="1"/>
  <c r="BW39" i="1" s="1"/>
  <c r="BW53" i="1" s="1"/>
  <c r="AH50" i="1"/>
  <c r="AW55" i="1"/>
  <c r="Q113" i="2"/>
  <c r="I143" i="2"/>
  <c r="BW62" i="1"/>
  <c r="AG50" i="1"/>
  <c r="AW64" i="1"/>
  <c r="BW120" i="1"/>
  <c r="AG130" i="1"/>
  <c r="BW50" i="1"/>
  <c r="AG120" i="1"/>
  <c r="BW130" i="1"/>
  <c r="BF50" i="1"/>
  <c r="BF120" i="1"/>
  <c r="AG31" i="1"/>
  <c r="AG35" i="1" s="1"/>
  <c r="AG39" i="1" s="1"/>
  <c r="M111" i="2"/>
  <c r="L130" i="1"/>
  <c r="BF31" i="1"/>
  <c r="BF35" i="1" s="1"/>
  <c r="BF64" i="1" s="1"/>
  <c r="AM132" i="1"/>
  <c r="AM43" i="1"/>
  <c r="AM122" i="1"/>
  <c r="AM55" i="1"/>
  <c r="AM39" i="1"/>
  <c r="AM44" i="1" s="1"/>
  <c r="AM64" i="1"/>
  <c r="BI62" i="1"/>
  <c r="I61" i="2"/>
  <c r="BI130" i="1"/>
  <c r="E143" i="2"/>
  <c r="I96" i="2"/>
  <c r="BI120" i="1"/>
  <c r="AE43" i="1"/>
  <c r="AB130" i="1"/>
  <c r="BI31" i="1"/>
  <c r="BI35" i="1" s="1"/>
  <c r="BI122" i="1" s="1"/>
  <c r="AE122" i="1"/>
  <c r="BH122" i="1"/>
  <c r="J143" i="2"/>
  <c r="AB120" i="1"/>
  <c r="BI36" i="1"/>
  <c r="C116" i="2"/>
  <c r="V136" i="2"/>
  <c r="AB31" i="1"/>
  <c r="AB35" i="1" s="1"/>
  <c r="AB132" i="1" s="1"/>
  <c r="L31" i="2"/>
  <c r="L35" i="2" s="1"/>
  <c r="L122" i="2" s="1"/>
  <c r="AE55" i="1"/>
  <c r="N131" i="2"/>
  <c r="L121" i="2"/>
  <c r="C23" i="1"/>
  <c r="BJ132" i="1"/>
  <c r="AB50" i="1"/>
  <c r="AW39" i="1"/>
  <c r="AW137" i="1" s="1"/>
  <c r="AW122" i="1"/>
  <c r="BD132" i="1"/>
  <c r="BD39" i="1"/>
  <c r="BD55" i="1"/>
  <c r="BD122" i="1"/>
  <c r="BD64" i="1"/>
  <c r="BD43" i="1"/>
  <c r="N111" i="2"/>
  <c r="P61" i="2"/>
  <c r="J121" i="2"/>
  <c r="BH132" i="1"/>
  <c r="J63" i="2"/>
  <c r="B17" i="2"/>
  <c r="V17" i="2" s="1"/>
  <c r="BH55" i="1"/>
  <c r="I120" i="1"/>
  <c r="I36" i="1"/>
  <c r="I130" i="1"/>
  <c r="I50" i="1"/>
  <c r="I31" i="1"/>
  <c r="I35" i="1" s="1"/>
  <c r="D132" i="1"/>
  <c r="D39" i="1"/>
  <c r="D43" i="1"/>
  <c r="T50" i="1"/>
  <c r="T36" i="1"/>
  <c r="B121" i="2"/>
  <c r="V121" i="2" s="1"/>
  <c r="T45" i="2"/>
  <c r="C131" i="2"/>
  <c r="V131" i="2"/>
  <c r="L45" i="2"/>
  <c r="AQ50" i="1"/>
  <c r="AQ36" i="1"/>
  <c r="BH64" i="1"/>
  <c r="L50" i="1"/>
  <c r="AP31" i="1"/>
  <c r="AP35" i="1" s="1"/>
  <c r="AP36" i="1"/>
  <c r="AP120" i="1"/>
  <c r="AP130" i="1"/>
  <c r="AP62" i="1"/>
  <c r="H36" i="1"/>
  <c r="H50" i="1"/>
  <c r="O120" i="1"/>
  <c r="O36" i="1"/>
  <c r="CB31" i="1"/>
  <c r="CB35" i="1" s="1"/>
  <c r="CB39" i="1" s="1"/>
  <c r="CB36" i="1"/>
  <c r="L50" i="2"/>
  <c r="J50" i="1"/>
  <c r="BM120" i="1"/>
  <c r="C124" i="2"/>
  <c r="BJ55" i="1"/>
  <c r="L120" i="1"/>
  <c r="AT36" i="1"/>
  <c r="AT130" i="1"/>
  <c r="AT62" i="1"/>
  <c r="AT120" i="1"/>
  <c r="Y43" i="1"/>
  <c r="Y39" i="1"/>
  <c r="Y137" i="1" s="1"/>
  <c r="L131" i="2"/>
  <c r="BJ122" i="1"/>
  <c r="L31" i="1"/>
  <c r="L35" i="1" s="1"/>
  <c r="N120" i="1"/>
  <c r="N36" i="1"/>
  <c r="N130" i="1"/>
  <c r="N31" i="1"/>
  <c r="N35" i="1" s="1"/>
  <c r="E116" i="2"/>
  <c r="J124" i="2"/>
  <c r="J116" i="2"/>
  <c r="U124" i="2"/>
  <c r="T78" i="2"/>
  <c r="F121" i="2"/>
  <c r="V29" i="2"/>
  <c r="CC35" i="1"/>
  <c r="CC39" i="1" s="1"/>
  <c r="CC36" i="1"/>
  <c r="BQ139" i="1"/>
  <c r="BP137" i="1"/>
  <c r="BP44" i="1"/>
  <c r="BS139" i="1"/>
  <c r="BP53" i="1"/>
  <c r="BP138" i="1"/>
  <c r="M117" i="2"/>
  <c r="P143" i="2"/>
  <c r="P142" i="2"/>
  <c r="AA132" i="1"/>
  <c r="G143" i="2"/>
  <c r="I117" i="2"/>
  <c r="BM62" i="1"/>
  <c r="BM50" i="1"/>
  <c r="BM130" i="1"/>
  <c r="AT132" i="1"/>
  <c r="AT64" i="1"/>
  <c r="AT122" i="1"/>
  <c r="AT43" i="1"/>
  <c r="AT55" i="1"/>
  <c r="K131" i="2"/>
  <c r="E121" i="2"/>
  <c r="CA62" i="1"/>
  <c r="CA50" i="1"/>
  <c r="CA130" i="1"/>
  <c r="CA120" i="1"/>
  <c r="CA31" i="1"/>
  <c r="CA35" i="1" s="1"/>
  <c r="CA39" i="1" s="1"/>
  <c r="BX138" i="1"/>
  <c r="BX137" i="1"/>
  <c r="BX44" i="1"/>
  <c r="AY62" i="1"/>
  <c r="AY130" i="1"/>
  <c r="AY120" i="1"/>
  <c r="AY50" i="1"/>
  <c r="AY31" i="1"/>
  <c r="AY35" i="1" s="1"/>
  <c r="AY39" i="1" s="1"/>
  <c r="AD50" i="1"/>
  <c r="AD120" i="1"/>
  <c r="AA43" i="1"/>
  <c r="AA55" i="1"/>
  <c r="AA122" i="1"/>
  <c r="BX53" i="1"/>
  <c r="BQ137" i="1"/>
  <c r="BQ44" i="1"/>
  <c r="BT139" i="1"/>
  <c r="BQ138" i="1"/>
  <c r="BQ53" i="1"/>
  <c r="BA62" i="1"/>
  <c r="BA120" i="1"/>
  <c r="BA130" i="1"/>
  <c r="BA31" i="1"/>
  <c r="BA35" i="1" s="1"/>
  <c r="BA39" i="1" s="1"/>
  <c r="BA50" i="1"/>
  <c r="BG132" i="1"/>
  <c r="BG55" i="1"/>
  <c r="BG122" i="1"/>
  <c r="BG64" i="1"/>
  <c r="BG43" i="1"/>
  <c r="BY122" i="1"/>
  <c r="BY64" i="1"/>
  <c r="BY43" i="1"/>
  <c r="BY132" i="1"/>
  <c r="BY55" i="1"/>
  <c r="E130" i="1"/>
  <c r="E50" i="1"/>
  <c r="E120" i="1"/>
  <c r="E31" i="1"/>
  <c r="E35" i="1" s="1"/>
  <c r="BV122" i="1"/>
  <c r="BV132" i="1"/>
  <c r="BJ137" i="1"/>
  <c r="BJ138" i="1"/>
  <c r="BJ44" i="1"/>
  <c r="BJ53" i="1"/>
  <c r="AE132" i="1"/>
  <c r="BC120" i="1"/>
  <c r="BC31" i="1"/>
  <c r="BC35" i="1" s="1"/>
  <c r="BC39" i="1" s="1"/>
  <c r="BC130" i="1"/>
  <c r="BC50" i="1"/>
  <c r="BC62" i="1"/>
  <c r="AQ120" i="1"/>
  <c r="AQ62" i="1"/>
  <c r="AQ31" i="1"/>
  <c r="AQ35" i="1" s="1"/>
  <c r="AQ39" i="1" s="1"/>
  <c r="AQ130" i="1"/>
  <c r="BE55" i="1"/>
  <c r="BE122" i="1"/>
  <c r="BE64" i="1"/>
  <c r="BE43" i="1"/>
  <c r="BE132" i="1"/>
  <c r="S50" i="1"/>
  <c r="S130" i="1"/>
  <c r="S120" i="1"/>
  <c r="S31" i="1"/>
  <c r="S35" i="1" s="1"/>
  <c r="S39" i="1" s="1"/>
  <c r="O143" i="2"/>
  <c r="N45" i="2"/>
  <c r="N63" i="2"/>
  <c r="T63" i="2"/>
  <c r="M50" i="2"/>
  <c r="M36" i="2"/>
  <c r="N121" i="2"/>
  <c r="T121" i="2"/>
  <c r="T31" i="2"/>
  <c r="T35" i="2" s="1"/>
  <c r="T64" i="2" s="1"/>
  <c r="G131" i="2"/>
  <c r="N50" i="2"/>
  <c r="T50" i="2"/>
  <c r="T36" i="2"/>
  <c r="O96" i="2"/>
  <c r="N31" i="2"/>
  <c r="N35" i="2" s="1"/>
  <c r="N122" i="2" s="1"/>
  <c r="M143" i="2"/>
  <c r="M96" i="2"/>
  <c r="K96" i="2"/>
  <c r="O111" i="2"/>
  <c r="Q143" i="2"/>
  <c r="C143" i="2"/>
  <c r="M121" i="2"/>
  <c r="D121" i="2"/>
  <c r="M45" i="2"/>
  <c r="M31" i="2"/>
  <c r="M35" i="2" s="1"/>
  <c r="M63" i="2"/>
  <c r="K63" i="2"/>
  <c r="I116" i="2"/>
  <c r="U113" i="2"/>
  <c r="V113" i="2" s="1"/>
  <c r="U132" i="2"/>
  <c r="U55" i="2"/>
  <c r="V112" i="2"/>
  <c r="C96" i="2"/>
  <c r="D45" i="2"/>
  <c r="H131" i="2"/>
  <c r="S141" i="2"/>
  <c r="S142" i="2"/>
  <c r="V11" i="2"/>
  <c r="B117" i="2"/>
  <c r="V117" i="2" s="1"/>
  <c r="B124" i="2"/>
  <c r="T111" i="2"/>
  <c r="N143" i="2"/>
  <c r="S113" i="2"/>
  <c r="K142" i="2"/>
  <c r="K143" i="2"/>
  <c r="P111" i="2"/>
  <c r="CD122" i="1"/>
  <c r="K45" i="2"/>
  <c r="U43" i="2"/>
  <c r="U64" i="2"/>
  <c r="U122" i="2"/>
  <c r="H124" i="2"/>
  <c r="H117" i="2"/>
  <c r="H116" i="2"/>
  <c r="J61" i="2"/>
  <c r="J96" i="2"/>
  <c r="N116" i="2"/>
  <c r="N117" i="2"/>
  <c r="N124" i="2"/>
  <c r="S61" i="2"/>
  <c r="S143" i="2"/>
  <c r="S96" i="2"/>
  <c r="L61" i="2"/>
  <c r="L96" i="2"/>
  <c r="L143" i="2"/>
  <c r="Q141" i="2"/>
  <c r="Q142" i="2"/>
  <c r="K130" i="2"/>
  <c r="CC120" i="1"/>
  <c r="CC50" i="1"/>
  <c r="CC130" i="1"/>
  <c r="CC62" i="1"/>
  <c r="CD132" i="1"/>
  <c r="R142" i="2"/>
  <c r="R143" i="2"/>
  <c r="R141" i="2"/>
  <c r="K113" i="2"/>
  <c r="K111" i="2"/>
  <c r="AR138" i="1"/>
  <c r="AR53" i="1"/>
  <c r="AR44" i="1"/>
  <c r="AR137" i="1"/>
  <c r="AJ64" i="1"/>
  <c r="AJ132" i="1"/>
  <c r="AJ43" i="1"/>
  <c r="AJ122" i="1"/>
  <c r="AJ55" i="1"/>
  <c r="AO120" i="1"/>
  <c r="AO31" i="1"/>
  <c r="AO35" i="1" s="1"/>
  <c r="AO39" i="1" s="1"/>
  <c r="AO130" i="1"/>
  <c r="AO62" i="1"/>
  <c r="AO50" i="1"/>
  <c r="BZ44" i="1"/>
  <c r="BZ138" i="1"/>
  <c r="BZ137" i="1"/>
  <c r="BZ53" i="1"/>
  <c r="BG137" i="1"/>
  <c r="W120" i="1"/>
  <c r="W50" i="1"/>
  <c r="W130" i="1"/>
  <c r="W31" i="1"/>
  <c r="W35" i="1" s="1"/>
  <c r="W39" i="1" s="1"/>
  <c r="AA138" i="1"/>
  <c r="AA44" i="1"/>
  <c r="AA53" i="1"/>
  <c r="AA137" i="1"/>
  <c r="E124" i="2"/>
  <c r="D78" i="2"/>
  <c r="D124" i="2"/>
  <c r="H132" i="1"/>
  <c r="H38" i="1"/>
  <c r="H55" i="1" s="1"/>
  <c r="H43" i="1"/>
  <c r="H122" i="1"/>
  <c r="BM132" i="1"/>
  <c r="BM55" i="1"/>
  <c r="BU64" i="1"/>
  <c r="BU132" i="1"/>
  <c r="BU122" i="1"/>
  <c r="BU43" i="1"/>
  <c r="BU55" i="1"/>
  <c r="G43" i="1"/>
  <c r="AH43" i="1"/>
  <c r="AH122" i="1"/>
  <c r="AH55" i="1"/>
  <c r="AH132" i="1"/>
  <c r="O122" i="1"/>
  <c r="O132" i="1"/>
  <c r="O38" i="1"/>
  <c r="O39" i="1" s="1"/>
  <c r="O43" i="1"/>
  <c r="AC120" i="1"/>
  <c r="AC130" i="1"/>
  <c r="AC31" i="1"/>
  <c r="AC35" i="1" s="1"/>
  <c r="AC39" i="1" s="1"/>
  <c r="AC50" i="1"/>
  <c r="AX43" i="1"/>
  <c r="AX132" i="1"/>
  <c r="AX64" i="1"/>
  <c r="AX122" i="1"/>
  <c r="AX55" i="1"/>
  <c r="G17" i="2"/>
  <c r="E45" i="2"/>
  <c r="E23" i="2"/>
  <c r="E36" i="2" s="1"/>
  <c r="AD43" i="1"/>
  <c r="AD132" i="1"/>
  <c r="AD122" i="1"/>
  <c r="AD55" i="1"/>
  <c r="J38" i="1"/>
  <c r="J55" i="1" s="1"/>
  <c r="J122" i="1"/>
  <c r="J43" i="1"/>
  <c r="J132" i="1"/>
  <c r="AC45" i="1"/>
  <c r="H17" i="2"/>
  <c r="R43" i="1"/>
  <c r="R38" i="1"/>
  <c r="R55" i="1" s="1"/>
  <c r="R132" i="1"/>
  <c r="R122" i="1"/>
  <c r="BO138" i="1"/>
  <c r="BR139" i="1"/>
  <c r="BO53" i="1"/>
  <c r="BO44" i="1"/>
  <c r="BO137" i="1"/>
  <c r="AU137" i="1"/>
  <c r="AU44" i="1"/>
  <c r="AU53" i="1"/>
  <c r="AU138" i="1"/>
  <c r="P130" i="1"/>
  <c r="P120" i="1"/>
  <c r="P31" i="1"/>
  <c r="P35" i="1" s="1"/>
  <c r="P50" i="1"/>
  <c r="V23" i="1"/>
  <c r="V36" i="1" s="1"/>
  <c r="Q43" i="1"/>
  <c r="Q122" i="1"/>
  <c r="F96" i="2"/>
  <c r="F143" i="2"/>
  <c r="AN50" i="1"/>
  <c r="AN62" i="1"/>
  <c r="AN31" i="1"/>
  <c r="AN35" i="1" s="1"/>
  <c r="AN39" i="1" s="1"/>
  <c r="AN130" i="1"/>
  <c r="AN120" i="1"/>
  <c r="L111" i="2"/>
  <c r="L113" i="2"/>
  <c r="M122" i="1"/>
  <c r="M43" i="1"/>
  <c r="M38" i="1"/>
  <c r="M55" i="1" s="1"/>
  <c r="M132" i="1"/>
  <c r="Z23" i="1"/>
  <c r="Z36" i="1" s="1"/>
  <c r="R113" i="2"/>
  <c r="R111" i="2"/>
  <c r="F31" i="1"/>
  <c r="F35" i="1" s="1"/>
  <c r="F120" i="1"/>
  <c r="F50" i="1"/>
  <c r="F130" i="1"/>
  <c r="AK64" i="1"/>
  <c r="AK122" i="1"/>
  <c r="AK43" i="1"/>
  <c r="AK132" i="1"/>
  <c r="AK55" i="1"/>
  <c r="AG132" i="1"/>
  <c r="AG43" i="1"/>
  <c r="X50" i="1"/>
  <c r="X130" i="1"/>
  <c r="X120" i="1"/>
  <c r="X31" i="1"/>
  <c r="X35" i="1" s="1"/>
  <c r="X39" i="1" s="1"/>
  <c r="T120" i="1"/>
  <c r="T31" i="1"/>
  <c r="T35" i="1" s="1"/>
  <c r="T39" i="1" s="1"/>
  <c r="T130" i="1"/>
  <c r="R61" i="2"/>
  <c r="R96" i="2"/>
  <c r="J17" i="2"/>
  <c r="AI23" i="1"/>
  <c r="AI36" i="1" s="1"/>
  <c r="AI45" i="1"/>
  <c r="K132" i="1"/>
  <c r="K38" i="1"/>
  <c r="K39" i="1" s="1"/>
  <c r="K122" i="1"/>
  <c r="K43" i="1"/>
  <c r="T124" i="2"/>
  <c r="U43" i="1"/>
  <c r="U122" i="1"/>
  <c r="U55" i="1"/>
  <c r="U132" i="1"/>
  <c r="AF45" i="1"/>
  <c r="AF23" i="1"/>
  <c r="AF36" i="1" s="1"/>
  <c r="I17" i="2"/>
  <c r="CB120" i="1"/>
  <c r="CB50" i="1"/>
  <c r="CB130" i="1"/>
  <c r="CB62" i="1"/>
  <c r="BK62" i="1"/>
  <c r="BK130" i="1"/>
  <c r="BK31" i="1"/>
  <c r="BK35" i="1" s="1"/>
  <c r="BK39" i="1" s="1"/>
  <c r="BK50" i="1"/>
  <c r="BK120" i="1"/>
  <c r="AZ43" i="1"/>
  <c r="AZ132" i="1"/>
  <c r="AZ122" i="1"/>
  <c r="AZ64" i="1"/>
  <c r="AZ55" i="1"/>
  <c r="F17" i="2"/>
  <c r="AL130" i="1"/>
  <c r="AL31" i="1"/>
  <c r="AL35" i="1" s="1"/>
  <c r="AL39" i="1" s="1"/>
  <c r="AL62" i="1"/>
  <c r="AL120" i="1"/>
  <c r="AL50" i="1"/>
  <c r="BH53" i="1"/>
  <c r="BH137" i="1"/>
  <c r="BH44" i="1"/>
  <c r="BH138" i="1"/>
  <c r="C45" i="2" l="1"/>
  <c r="C31" i="2"/>
  <c r="C35" i="2" s="1"/>
  <c r="K120" i="2"/>
  <c r="K31" i="2"/>
  <c r="K35" i="2" s="1"/>
  <c r="AS43" i="1"/>
  <c r="AS122" i="1"/>
  <c r="G122" i="1"/>
  <c r="G38" i="1"/>
  <c r="G39" i="1" s="1"/>
  <c r="BV39" i="1"/>
  <c r="BY139" i="1" s="1"/>
  <c r="BV64" i="1"/>
  <c r="O132" i="2"/>
  <c r="AS39" i="1"/>
  <c r="AV139" i="1" s="1"/>
  <c r="AS64" i="1"/>
  <c r="O64" i="2"/>
  <c r="AS55" i="1"/>
  <c r="AS132" i="1"/>
  <c r="BV55" i="1"/>
  <c r="BM43" i="1"/>
  <c r="BM64" i="1"/>
  <c r="L132" i="2"/>
  <c r="BM122" i="1"/>
  <c r="C50" i="2"/>
  <c r="O122" i="2"/>
  <c r="AB122" i="1"/>
  <c r="BI43" i="1"/>
  <c r="Q132" i="1"/>
  <c r="AB55" i="1"/>
  <c r="O55" i="2"/>
  <c r="O43" i="2"/>
  <c r="AB43" i="1"/>
  <c r="D120" i="2"/>
  <c r="AW139" i="1"/>
  <c r="D31" i="2"/>
  <c r="D35" i="2" s="1"/>
  <c r="D122" i="2" s="1"/>
  <c r="K62" i="2"/>
  <c r="C120" i="2"/>
  <c r="BI64" i="1"/>
  <c r="D130" i="2"/>
  <c r="D50" i="2"/>
  <c r="K36" i="2"/>
  <c r="BI55" i="1"/>
  <c r="C36" i="2"/>
  <c r="BI132" i="1"/>
  <c r="L39" i="2"/>
  <c r="L137" i="2" s="1"/>
  <c r="BB64" i="1"/>
  <c r="BB132" i="1"/>
  <c r="AM138" i="1"/>
  <c r="BB39" i="1"/>
  <c r="BB137" i="1" s="1"/>
  <c r="L55" i="2"/>
  <c r="AM137" i="1"/>
  <c r="L43" i="2"/>
  <c r="CE139" i="1"/>
  <c r="BF132" i="1"/>
  <c r="BF39" i="1"/>
  <c r="BF44" i="1" s="1"/>
  <c r="BB122" i="1"/>
  <c r="BB43" i="1"/>
  <c r="AG122" i="1"/>
  <c r="AG55" i="1"/>
  <c r="AM53" i="1"/>
  <c r="BF55" i="1"/>
  <c r="L64" i="2"/>
  <c r="BF43" i="1"/>
  <c r="AW53" i="1"/>
  <c r="BF122" i="1"/>
  <c r="BW43" i="1"/>
  <c r="BW64" i="1"/>
  <c r="BW132" i="1"/>
  <c r="BW122" i="1"/>
  <c r="BW55" i="1"/>
  <c r="B45" i="2"/>
  <c r="BI39" i="1"/>
  <c r="BJ139" i="1" s="1"/>
  <c r="H39" i="1"/>
  <c r="H137" i="1" s="1"/>
  <c r="AB39" i="1"/>
  <c r="B23" i="2"/>
  <c r="B50" i="2" s="1"/>
  <c r="I43" i="1"/>
  <c r="I132" i="1"/>
  <c r="I38" i="1"/>
  <c r="I55" i="1" s="1"/>
  <c r="I122" i="1"/>
  <c r="AW44" i="1"/>
  <c r="L122" i="1"/>
  <c r="L38" i="1"/>
  <c r="L55" i="1" s="1"/>
  <c r="L43" i="1"/>
  <c r="L132" i="1"/>
  <c r="Q39" i="1"/>
  <c r="BW44" i="1"/>
  <c r="M39" i="1"/>
  <c r="M137" i="1" s="1"/>
  <c r="C130" i="1"/>
  <c r="C36" i="1"/>
  <c r="C31" i="1"/>
  <c r="C35" i="1" s="1"/>
  <c r="C50" i="1"/>
  <c r="C120" i="1"/>
  <c r="BW138" i="1"/>
  <c r="AP39" i="1"/>
  <c r="AP122" i="1"/>
  <c r="AP55" i="1"/>
  <c r="AP132" i="1"/>
  <c r="AP43" i="1"/>
  <c r="AP64" i="1"/>
  <c r="AU139" i="1"/>
  <c r="Y44" i="1"/>
  <c r="Y53" i="1"/>
  <c r="AX139" i="1"/>
  <c r="BW137" i="1"/>
  <c r="BB138" i="1"/>
  <c r="V124" i="2"/>
  <c r="N132" i="1"/>
  <c r="N38" i="1"/>
  <c r="N55" i="1" s="1"/>
  <c r="N122" i="1"/>
  <c r="N43" i="1"/>
  <c r="BD138" i="1"/>
  <c r="BD137" i="1"/>
  <c r="BD44" i="1"/>
  <c r="BD53" i="1"/>
  <c r="AS138" i="1"/>
  <c r="R39" i="1"/>
  <c r="R53" i="1" s="1"/>
  <c r="AW138" i="1"/>
  <c r="Y138" i="1"/>
  <c r="J39" i="1"/>
  <c r="K122" i="2"/>
  <c r="K39" i="2"/>
  <c r="K137" i="2" s="1"/>
  <c r="N39" i="2"/>
  <c r="N44" i="2" s="1"/>
  <c r="T132" i="2"/>
  <c r="T39" i="2"/>
  <c r="T141" i="2" s="1"/>
  <c r="M132" i="2"/>
  <c r="M39" i="2"/>
  <c r="M53" i="2" s="1"/>
  <c r="T43" i="2"/>
  <c r="T55" i="2"/>
  <c r="BG53" i="1"/>
  <c r="BG44" i="1"/>
  <c r="BH139" i="1"/>
  <c r="BG138" i="1"/>
  <c r="T122" i="2"/>
  <c r="N64" i="2"/>
  <c r="N132" i="2"/>
  <c r="N43" i="2"/>
  <c r="N55" i="2"/>
  <c r="BV138" i="1"/>
  <c r="BV44" i="1"/>
  <c r="AE137" i="1"/>
  <c r="AE53" i="1"/>
  <c r="AE138" i="1"/>
  <c r="AE44" i="1"/>
  <c r="E122" i="1"/>
  <c r="E43" i="1"/>
  <c r="E38" i="1"/>
  <c r="E55" i="1" s="1"/>
  <c r="E132" i="1"/>
  <c r="S122" i="1"/>
  <c r="S43" i="1"/>
  <c r="S132" i="1"/>
  <c r="S55" i="1"/>
  <c r="BA64" i="1"/>
  <c r="BA55" i="1"/>
  <c r="BA43" i="1"/>
  <c r="BA122" i="1"/>
  <c r="BA132" i="1"/>
  <c r="BE44" i="1"/>
  <c r="BE53" i="1"/>
  <c r="BE138" i="1"/>
  <c r="BE137" i="1"/>
  <c r="AY43" i="1"/>
  <c r="AY132" i="1"/>
  <c r="AY64" i="1"/>
  <c r="AY55" i="1"/>
  <c r="AY122" i="1"/>
  <c r="D138" i="1"/>
  <c r="D44" i="1"/>
  <c r="D137" i="1"/>
  <c r="BC139" i="1"/>
  <c r="BC64" i="1"/>
  <c r="BC132" i="1"/>
  <c r="BC43" i="1"/>
  <c r="BC122" i="1"/>
  <c r="BC55" i="1"/>
  <c r="CA43" i="1"/>
  <c r="CA64" i="1"/>
  <c r="CA122" i="1"/>
  <c r="CA55" i="1"/>
  <c r="CA132" i="1"/>
  <c r="AT137" i="1"/>
  <c r="AT44" i="1"/>
  <c r="AT138" i="1"/>
  <c r="AT53" i="1"/>
  <c r="BY44" i="1"/>
  <c r="BY53" i="1"/>
  <c r="BY137" i="1"/>
  <c r="BY138" i="1"/>
  <c r="BZ139" i="1"/>
  <c r="AQ55" i="1"/>
  <c r="AQ43" i="1"/>
  <c r="AQ64" i="1"/>
  <c r="AQ122" i="1"/>
  <c r="AQ132" i="1"/>
  <c r="M55" i="2"/>
  <c r="M64" i="2"/>
  <c r="M43" i="2"/>
  <c r="M122" i="2"/>
  <c r="U138" i="2"/>
  <c r="U53" i="2"/>
  <c r="O138" i="2"/>
  <c r="O137" i="2"/>
  <c r="O53" i="2"/>
  <c r="O44" i="2"/>
  <c r="O141" i="2"/>
  <c r="K132" i="2"/>
  <c r="K64" i="2"/>
  <c r="K55" i="2"/>
  <c r="K43" i="2"/>
  <c r="CD138" i="1"/>
  <c r="CD137" i="1"/>
  <c r="U44" i="2"/>
  <c r="U137" i="2"/>
  <c r="U141" i="2"/>
  <c r="C122" i="2"/>
  <c r="C132" i="2"/>
  <c r="C43" i="2"/>
  <c r="CC132" i="1"/>
  <c r="CC55" i="1"/>
  <c r="CC43" i="1"/>
  <c r="CC122" i="1"/>
  <c r="CC64" i="1"/>
  <c r="O138" i="1"/>
  <c r="O44" i="1"/>
  <c r="O137" i="1"/>
  <c r="O53" i="1"/>
  <c r="CB64" i="1"/>
  <c r="CB122" i="1"/>
  <c r="CB55" i="1"/>
  <c r="CB43" i="1"/>
  <c r="CB132" i="1"/>
  <c r="AK53" i="1"/>
  <c r="AK138" i="1"/>
  <c r="AK44" i="1"/>
  <c r="AK137" i="1"/>
  <c r="AN55" i="1"/>
  <c r="AN122" i="1"/>
  <c r="AN132" i="1"/>
  <c r="AN64" i="1"/>
  <c r="AN43" i="1"/>
  <c r="AH53" i="1"/>
  <c r="AH44" i="1"/>
  <c r="AH137" i="1"/>
  <c r="AH138" i="1"/>
  <c r="AJ44" i="1"/>
  <c r="AJ138" i="1"/>
  <c r="AJ53" i="1"/>
  <c r="AJ137" i="1"/>
  <c r="AZ137" i="1"/>
  <c r="AZ138" i="1"/>
  <c r="BB139" i="1"/>
  <c r="AZ44" i="1"/>
  <c r="AZ53" i="1"/>
  <c r="AF31" i="1"/>
  <c r="AF35" i="1" s="1"/>
  <c r="AF39" i="1" s="1"/>
  <c r="AF50" i="1"/>
  <c r="AF120" i="1"/>
  <c r="AF130" i="1"/>
  <c r="Z31" i="1"/>
  <c r="Z35" i="1" s="1"/>
  <c r="Z39" i="1" s="1"/>
  <c r="Z130" i="1"/>
  <c r="Z50" i="1"/>
  <c r="Z120" i="1"/>
  <c r="E31" i="2"/>
  <c r="E35" i="2" s="1"/>
  <c r="E130" i="2"/>
  <c r="E50" i="2"/>
  <c r="E120" i="2"/>
  <c r="G138" i="1"/>
  <c r="G53" i="1"/>
  <c r="G137" i="1"/>
  <c r="G44" i="1"/>
  <c r="D43" i="2"/>
  <c r="K55" i="1"/>
  <c r="I23" i="2"/>
  <c r="I36" i="2" s="1"/>
  <c r="I45" i="2"/>
  <c r="AI130" i="1"/>
  <c r="AI50" i="1"/>
  <c r="AI31" i="1"/>
  <c r="AI35" i="1" s="1"/>
  <c r="AI39" i="1" s="1"/>
  <c r="AI120" i="1"/>
  <c r="AI62" i="1"/>
  <c r="T55" i="1"/>
  <c r="T132" i="1"/>
  <c r="T122" i="1"/>
  <c r="T43" i="1"/>
  <c r="BP139" i="1"/>
  <c r="BM44" i="1"/>
  <c r="BM137" i="1"/>
  <c r="BO139" i="1"/>
  <c r="BM53" i="1"/>
  <c r="BM138" i="1"/>
  <c r="V120" i="1"/>
  <c r="V50" i="1"/>
  <c r="V31" i="1"/>
  <c r="V35" i="1" s="1"/>
  <c r="V39" i="1" s="1"/>
  <c r="V130" i="1"/>
  <c r="AL132" i="1"/>
  <c r="AL122" i="1"/>
  <c r="AL64" i="1"/>
  <c r="AL43" i="1"/>
  <c r="AL55" i="1"/>
  <c r="F45" i="2"/>
  <c r="F23" i="2"/>
  <c r="F36" i="2" s="1"/>
  <c r="T61" i="2"/>
  <c r="T96" i="2"/>
  <c r="T143" i="2"/>
  <c r="J45" i="2"/>
  <c r="J23" i="2"/>
  <c r="J36" i="2" s="1"/>
  <c r="P122" i="1"/>
  <c r="P38" i="1"/>
  <c r="P55" i="1" s="1"/>
  <c r="P132" i="1"/>
  <c r="P43" i="1"/>
  <c r="H23" i="2"/>
  <c r="H36" i="2" s="1"/>
  <c r="H45" i="2"/>
  <c r="G45" i="2"/>
  <c r="G23" i="2"/>
  <c r="G36" i="2" s="1"/>
  <c r="AC43" i="1"/>
  <c r="AC122" i="1"/>
  <c r="AC132" i="1"/>
  <c r="AC55" i="1"/>
  <c r="C38" i="2"/>
  <c r="C39" i="2" s="1"/>
  <c r="G55" i="1"/>
  <c r="AO55" i="1"/>
  <c r="AO132" i="1"/>
  <c r="AO64" i="1"/>
  <c r="AO122" i="1"/>
  <c r="AO43" i="1"/>
  <c r="O55" i="1"/>
  <c r="H53" i="1"/>
  <c r="BK132" i="1"/>
  <c r="BK122" i="1"/>
  <c r="BK55" i="1"/>
  <c r="BK64" i="1"/>
  <c r="BK43" i="1"/>
  <c r="X55" i="1"/>
  <c r="X43" i="1"/>
  <c r="X132" i="1"/>
  <c r="X122" i="1"/>
  <c r="AZ139" i="1"/>
  <c r="BA139" i="1"/>
  <c r="AX53" i="1"/>
  <c r="AX44" i="1"/>
  <c r="AX137" i="1"/>
  <c r="AX138" i="1"/>
  <c r="BU44" i="1"/>
  <c r="BU53" i="1"/>
  <c r="BU137" i="1"/>
  <c r="BU138" i="1"/>
  <c r="BW139" i="1"/>
  <c r="BU139" i="1"/>
  <c r="BV139" i="1"/>
  <c r="BX139" i="1"/>
  <c r="W132" i="1"/>
  <c r="W122" i="1"/>
  <c r="W43" i="1"/>
  <c r="W55" i="1"/>
  <c r="F38" i="1"/>
  <c r="F55" i="1" s="1"/>
  <c r="F132" i="1"/>
  <c r="F43" i="1"/>
  <c r="F122" i="1"/>
  <c r="AG137" i="1"/>
  <c r="AG138" i="1"/>
  <c r="AG53" i="1"/>
  <c r="AG44" i="1"/>
  <c r="U44" i="1"/>
  <c r="U137" i="1"/>
  <c r="U53" i="1"/>
  <c r="U138" i="1"/>
  <c r="AD53" i="1"/>
  <c r="AD138" i="1"/>
  <c r="AD137" i="1"/>
  <c r="AD44" i="1"/>
  <c r="D96" i="2"/>
  <c r="D143" i="2"/>
  <c r="AY139" i="1"/>
  <c r="AS137" i="1" l="1"/>
  <c r="L141" i="2"/>
  <c r="AS53" i="1"/>
  <c r="AS44" i="1"/>
  <c r="L44" i="2"/>
  <c r="BV53" i="1"/>
  <c r="D132" i="2"/>
  <c r="L138" i="2"/>
  <c r="BV137" i="1"/>
  <c r="H44" i="1"/>
  <c r="M141" i="2"/>
  <c r="BI53" i="1"/>
  <c r="M137" i="2"/>
  <c r="R138" i="1"/>
  <c r="BF138" i="1"/>
  <c r="BF53" i="1"/>
  <c r="T44" i="2"/>
  <c r="T138" i="2"/>
  <c r="BB44" i="1"/>
  <c r="H138" i="1"/>
  <c r="BB53" i="1"/>
  <c r="BF137" i="1"/>
  <c r="BG139" i="1"/>
  <c r="D38" i="2"/>
  <c r="D55" i="2" s="1"/>
  <c r="B31" i="2"/>
  <c r="B35" i="2" s="1"/>
  <c r="V35" i="2" s="1"/>
  <c r="M44" i="2"/>
  <c r="T53" i="2"/>
  <c r="R137" i="1"/>
  <c r="R44" i="1"/>
  <c r="T137" i="2"/>
  <c r="BI137" i="1"/>
  <c r="M44" i="1"/>
  <c r="BI44" i="1"/>
  <c r="M53" i="1"/>
  <c r="B130" i="2"/>
  <c r="V130" i="2" s="1"/>
  <c r="BI138" i="1"/>
  <c r="M138" i="1"/>
  <c r="BI139" i="1"/>
  <c r="M138" i="2"/>
  <c r="AB138" i="1"/>
  <c r="AB44" i="1"/>
  <c r="AB137" i="1"/>
  <c r="AB53" i="1"/>
  <c r="E38" i="2"/>
  <c r="E39" i="2" s="1"/>
  <c r="N39" i="1"/>
  <c r="E39" i="1"/>
  <c r="E138" i="1" s="1"/>
  <c r="AP138" i="1"/>
  <c r="AP53" i="1"/>
  <c r="AP137" i="1"/>
  <c r="AP44" i="1"/>
  <c r="C122" i="1"/>
  <c r="C38" i="1"/>
  <c r="C39" i="1" s="1"/>
  <c r="C43" i="1"/>
  <c r="C132" i="1"/>
  <c r="F39" i="1"/>
  <c r="L39" i="1"/>
  <c r="M139" i="1" s="1"/>
  <c r="I39" i="1"/>
  <c r="K139" i="1" s="1"/>
  <c r="P39" i="1"/>
  <c r="R139" i="1" s="1"/>
  <c r="B36" i="2"/>
  <c r="V23" i="2"/>
  <c r="B120" i="2"/>
  <c r="V120" i="2" s="1"/>
  <c r="N137" i="2"/>
  <c r="N53" i="2"/>
  <c r="N141" i="2"/>
  <c r="N138" i="2"/>
  <c r="U139" i="1"/>
  <c r="CD139" i="1"/>
  <c r="BC138" i="1"/>
  <c r="BC137" i="1"/>
  <c r="BC44" i="1"/>
  <c r="BF139" i="1"/>
  <c r="BE139" i="1"/>
  <c r="BC53" i="1"/>
  <c r="BA53" i="1"/>
  <c r="BA137" i="1"/>
  <c r="BA138" i="1"/>
  <c r="BA44" i="1"/>
  <c r="BD139" i="1"/>
  <c r="AY137" i="1"/>
  <c r="AY138" i="1"/>
  <c r="AY53" i="1"/>
  <c r="AY44" i="1"/>
  <c r="CA138" i="1"/>
  <c r="CA139" i="1"/>
  <c r="CA53" i="1"/>
  <c r="CA44" i="1"/>
  <c r="CA137" i="1"/>
  <c r="AQ53" i="1"/>
  <c r="AQ137" i="1"/>
  <c r="AQ44" i="1"/>
  <c r="AQ138" i="1"/>
  <c r="AS139" i="1"/>
  <c r="AT139" i="1"/>
  <c r="S44" i="1"/>
  <c r="S138" i="1"/>
  <c r="S53" i="1"/>
  <c r="S137" i="1"/>
  <c r="K44" i="2"/>
  <c r="K138" i="2"/>
  <c r="K141" i="2"/>
  <c r="CC138" i="1"/>
  <c r="CC44" i="1"/>
  <c r="CC53" i="1"/>
  <c r="CC137" i="1"/>
  <c r="V122" i="1"/>
  <c r="V132" i="1"/>
  <c r="V43" i="1"/>
  <c r="W139" i="1"/>
  <c r="V55" i="1"/>
  <c r="E122" i="2"/>
  <c r="E132" i="2"/>
  <c r="E43" i="2"/>
  <c r="J53" i="1"/>
  <c r="J44" i="1"/>
  <c r="J137" i="1"/>
  <c r="J138" i="1"/>
  <c r="BK53" i="1"/>
  <c r="BN139" i="1"/>
  <c r="BK137" i="1"/>
  <c r="BK138" i="1"/>
  <c r="BM139" i="1"/>
  <c r="BK44" i="1"/>
  <c r="BL139" i="1"/>
  <c r="BK139" i="1"/>
  <c r="AC53" i="1"/>
  <c r="AC44" i="1"/>
  <c r="AC137" i="1"/>
  <c r="AC138" i="1"/>
  <c r="AD139" i="1"/>
  <c r="AE139" i="1"/>
  <c r="H50" i="2"/>
  <c r="H130" i="2"/>
  <c r="H120" i="2"/>
  <c r="H31" i="2"/>
  <c r="H35" i="2" s="1"/>
  <c r="H39" i="2" s="1"/>
  <c r="I130" i="2"/>
  <c r="I120" i="2"/>
  <c r="I31" i="2"/>
  <c r="I35" i="2" s="1"/>
  <c r="I39" i="2" s="1"/>
  <c r="I50" i="2"/>
  <c r="C55" i="2"/>
  <c r="J62" i="2"/>
  <c r="J120" i="2"/>
  <c r="J31" i="2"/>
  <c r="J35" i="2" s="1"/>
  <c r="J39" i="2" s="1"/>
  <c r="J50" i="2"/>
  <c r="J130" i="2"/>
  <c r="K137" i="1"/>
  <c r="K44" i="1"/>
  <c r="K138" i="1"/>
  <c r="K53" i="1"/>
  <c r="Q138" i="1"/>
  <c r="Q137" i="1"/>
  <c r="Q53" i="1"/>
  <c r="Q44" i="1"/>
  <c r="T139" i="1"/>
  <c r="AO137" i="1"/>
  <c r="AR139" i="1"/>
  <c r="AO53" i="1"/>
  <c r="AO138" i="1"/>
  <c r="AO44" i="1"/>
  <c r="CB44" i="1"/>
  <c r="CB138" i="1"/>
  <c r="CB137" i="1"/>
  <c r="CB53" i="1"/>
  <c r="CB139" i="1"/>
  <c r="CC139" i="1"/>
  <c r="X53" i="1"/>
  <c r="X137" i="1"/>
  <c r="X44" i="1"/>
  <c r="X138" i="1"/>
  <c r="F130" i="2"/>
  <c r="F120" i="2"/>
  <c r="F31" i="2"/>
  <c r="F35" i="2" s="1"/>
  <c r="F39" i="2" s="1"/>
  <c r="F50" i="2"/>
  <c r="AN53" i="1"/>
  <c r="AN137" i="1"/>
  <c r="AN138" i="1"/>
  <c r="AN44" i="1"/>
  <c r="AQ139" i="1"/>
  <c r="AP139" i="1"/>
  <c r="Z132" i="1"/>
  <c r="Z55" i="1"/>
  <c r="AA139" i="1"/>
  <c r="Z122" i="1"/>
  <c r="Z43" i="1"/>
  <c r="AF55" i="1"/>
  <c r="AF122" i="1"/>
  <c r="AF132" i="1"/>
  <c r="AF43" i="1"/>
  <c r="AF139" i="1"/>
  <c r="G130" i="2"/>
  <c r="G120" i="2"/>
  <c r="G50" i="2"/>
  <c r="G31" i="2"/>
  <c r="G35" i="2" s="1"/>
  <c r="G39" i="2" s="1"/>
  <c r="T138" i="1"/>
  <c r="T44" i="1"/>
  <c r="T137" i="1"/>
  <c r="T53" i="1"/>
  <c r="W53" i="1"/>
  <c r="W44" i="1"/>
  <c r="W137" i="1"/>
  <c r="W138" i="1"/>
  <c r="P44" i="1"/>
  <c r="P53" i="1"/>
  <c r="P137" i="1"/>
  <c r="P138" i="1"/>
  <c r="AL53" i="1"/>
  <c r="AL138" i="1"/>
  <c r="AO139" i="1"/>
  <c r="AL137" i="1"/>
  <c r="AL44" i="1"/>
  <c r="AI55" i="1"/>
  <c r="AI43" i="1"/>
  <c r="AI122" i="1"/>
  <c r="AI64" i="1"/>
  <c r="AI132" i="1"/>
  <c r="AM139" i="1"/>
  <c r="AN139" i="1"/>
  <c r="B132" i="2" l="1"/>
  <c r="V132" i="2" s="1"/>
  <c r="S139" i="1"/>
  <c r="B122" i="2"/>
  <c r="V122" i="2" s="1"/>
  <c r="D39" i="2"/>
  <c r="D53" i="2" s="1"/>
  <c r="B43" i="2"/>
  <c r="V31" i="2"/>
  <c r="L139" i="1"/>
  <c r="Q139" i="1"/>
  <c r="E55" i="2"/>
  <c r="C44" i="1"/>
  <c r="C138" i="1"/>
  <c r="F139" i="1"/>
  <c r="C137" i="1"/>
  <c r="N44" i="1"/>
  <c r="N137" i="1"/>
  <c r="N138" i="1"/>
  <c r="N53" i="1"/>
  <c r="P139" i="1"/>
  <c r="B38" i="2"/>
  <c r="C55" i="1"/>
  <c r="E44" i="1"/>
  <c r="I137" i="1"/>
  <c r="I138" i="1"/>
  <c r="I53" i="1"/>
  <c r="I44" i="1"/>
  <c r="J139" i="1"/>
  <c r="E137" i="1"/>
  <c r="L53" i="1"/>
  <c r="L44" i="1"/>
  <c r="L138" i="1"/>
  <c r="O139" i="1"/>
  <c r="L137" i="1"/>
  <c r="E53" i="1"/>
  <c r="N139" i="1"/>
  <c r="AF137" i="1"/>
  <c r="AF44" i="1"/>
  <c r="AF53" i="1"/>
  <c r="AF138" i="1"/>
  <c r="AI139" i="1"/>
  <c r="AH139" i="1"/>
  <c r="AG139" i="1"/>
  <c r="H55" i="2"/>
  <c r="H122" i="2"/>
  <c r="H132" i="2"/>
  <c r="H43" i="2"/>
  <c r="J122" i="2"/>
  <c r="J64" i="2"/>
  <c r="J55" i="2"/>
  <c r="J43" i="2"/>
  <c r="J132" i="2"/>
  <c r="F55" i="2"/>
  <c r="F122" i="2"/>
  <c r="F43" i="2"/>
  <c r="F132" i="2"/>
  <c r="C44" i="2"/>
  <c r="C141" i="2"/>
  <c r="C53" i="2"/>
  <c r="C138" i="2"/>
  <c r="C137" i="2"/>
  <c r="V137" i="1"/>
  <c r="V53" i="1"/>
  <c r="V138" i="1"/>
  <c r="Y139" i="1"/>
  <c r="V44" i="1"/>
  <c r="X139" i="1"/>
  <c r="AI137" i="1"/>
  <c r="AL139" i="1"/>
  <c r="AI44" i="1"/>
  <c r="AI138" i="1"/>
  <c r="AI53" i="1"/>
  <c r="AJ139" i="1"/>
  <c r="AK139" i="1"/>
  <c r="D138" i="2"/>
  <c r="Z138" i="1"/>
  <c r="Z53" i="1"/>
  <c r="AC139" i="1"/>
  <c r="Z44" i="1"/>
  <c r="Z137" i="1"/>
  <c r="AB139" i="1"/>
  <c r="F44" i="1"/>
  <c r="F138" i="1"/>
  <c r="F137" i="1"/>
  <c r="I139" i="1"/>
  <c r="F53" i="1"/>
  <c r="G139" i="1"/>
  <c r="H139" i="1"/>
  <c r="G43" i="2"/>
  <c r="G55" i="2"/>
  <c r="G122" i="2"/>
  <c r="G132" i="2"/>
  <c r="E141" i="2"/>
  <c r="E138" i="2"/>
  <c r="E137" i="2"/>
  <c r="E44" i="2"/>
  <c r="E53" i="2"/>
  <c r="Z139" i="1"/>
  <c r="V139" i="1"/>
  <c r="I122" i="2"/>
  <c r="I132" i="2"/>
  <c r="I43" i="2"/>
  <c r="I55" i="2"/>
  <c r="D141" i="2" l="1"/>
  <c r="D137" i="2"/>
  <c r="D44" i="2"/>
  <c r="V38" i="2"/>
  <c r="B55" i="2"/>
  <c r="B39" i="2"/>
  <c r="I44" i="2"/>
  <c r="I137" i="2"/>
  <c r="I141" i="2"/>
  <c r="I138" i="2"/>
  <c r="G44" i="2"/>
  <c r="G138" i="2"/>
  <c r="G137" i="2"/>
  <c r="G141" i="2"/>
  <c r="H44" i="2"/>
  <c r="H137" i="2"/>
  <c r="H138" i="2"/>
  <c r="H141" i="2"/>
  <c r="F44" i="2"/>
  <c r="F141" i="2"/>
  <c r="F137" i="2"/>
  <c r="F138" i="2"/>
  <c r="J137" i="2"/>
  <c r="J44" i="2"/>
  <c r="J138" i="2"/>
  <c r="J141" i="2"/>
  <c r="V39" i="2" l="1"/>
  <c r="B53" i="2"/>
  <c r="V53" i="2" s="1"/>
  <c r="B137" i="2"/>
  <c r="V137" i="2" s="1"/>
  <c r="B138" i="2"/>
  <c r="V138" i="2" s="1"/>
  <c r="B44" i="2"/>
  <c r="B141" i="2"/>
  <c r="V1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Hjalmar Wikholm</author>
    <author>Elin Emfeldt</author>
  </authors>
  <commentList>
    <comment ref="BV28" authorId="0" shapeId="0" xr:uid="{00000000-0006-0000-0000-000001000000}">
      <text>
        <r>
          <rPr>
            <sz val="9"/>
            <color indexed="81"/>
            <rFont val="Tahoma"/>
            <family val="2"/>
          </rPr>
          <t>Including the Swedish Financial Supervisory Authority’s administrative fee of SEK 35 million  on the subsidiary Försäkringsaktiebolaget Avanza Pension</t>
        </r>
      </text>
    </comment>
    <comment ref="BR54" authorId="1" shapeId="0" xr:uid="{00000000-0006-0000-0000-000002000000}">
      <text>
        <r>
          <rPr>
            <sz val="9"/>
            <color indexed="81"/>
            <rFont val="Tahoma"/>
            <family val="2"/>
          </rPr>
          <t>Restated from 1,52 to 1,55. See note 4 in the Interim Report January-March 2018.</t>
        </r>
      </text>
    </comment>
    <comment ref="BV63" authorId="0" shapeId="0" xr:uid="{00000000-0006-0000-0000-000003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64" authorId="0" shapeId="0" xr:uid="{00000000-0006-0000-0000-000004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21" authorId="0" shapeId="0" xr:uid="{00000000-0006-0000-0000-000005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22" authorId="0" shapeId="0" xr:uid="{00000000-0006-0000-0000-000006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31" authorId="0" shapeId="0" xr:uid="{00000000-0006-0000-0000-000007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BV132" authorId="0" shapeId="0" xr:uid="{00000000-0006-0000-0000-000008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Hjalmar Wikholm</author>
  </authors>
  <commentList>
    <comment ref="S63" authorId="0" shapeId="0" xr:uid="{00000000-0006-0000-0100-000001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64" authorId="0" shapeId="0" xr:uid="{00000000-0006-0000-0100-000002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21" authorId="0" shapeId="0" xr:uid="{00000000-0006-0000-0100-000003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22" authorId="0" shapeId="0" xr:uid="{00000000-0006-0000-0100-000004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31" authorId="0" shapeId="0" xr:uid="{00000000-0006-0000-0100-000005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  <comment ref="S132" authorId="0" shapeId="0" xr:uid="{00000000-0006-0000-0100-000006000000}">
      <text>
        <r>
          <rPr>
            <sz val="9"/>
            <color indexed="81"/>
            <rFont val="Tahoma"/>
            <family val="2"/>
          </rPr>
          <t>Excluding administrative fee of SEK 35 million</t>
        </r>
      </text>
    </comment>
  </commentList>
</comments>
</file>

<file path=xl/sharedStrings.xml><?xml version="1.0" encoding="utf-8"?>
<sst xmlns="http://schemas.openxmlformats.org/spreadsheetml/2006/main" count="1999" uniqueCount="239">
  <si>
    <t>Q1/01</t>
  </si>
  <si>
    <t>Q2/01</t>
  </si>
  <si>
    <t>Q3/01</t>
  </si>
  <si>
    <t>Q4/01</t>
  </si>
  <si>
    <t>Q1/02</t>
  </si>
  <si>
    <t>Q2/02</t>
  </si>
  <si>
    <t>Q3/02</t>
  </si>
  <si>
    <t>Q4/04</t>
  </si>
  <si>
    <t>Q1/03</t>
  </si>
  <si>
    <t>Q2/03</t>
  </si>
  <si>
    <t>Q3/03</t>
  </si>
  <si>
    <t>Q4/03</t>
  </si>
  <si>
    <t>Q1/04</t>
  </si>
  <si>
    <t>Q2/04</t>
  </si>
  <si>
    <t>Q3/04</t>
  </si>
  <si>
    <t>Q1/05</t>
  </si>
  <si>
    <t>Q2/05</t>
  </si>
  <si>
    <t>Q3/05</t>
  </si>
  <si>
    <t>Q4/05</t>
  </si>
  <si>
    <t>Q1/06</t>
  </si>
  <si>
    <t>Q2/06</t>
  </si>
  <si>
    <t>Q3/06</t>
  </si>
  <si>
    <t>Q4/06</t>
  </si>
  <si>
    <t>Q1/07</t>
  </si>
  <si>
    <t>Q2/07</t>
  </si>
  <si>
    <t>Avanza</t>
  </si>
  <si>
    <t>Brokerage income</t>
  </si>
  <si>
    <t>Net interest income</t>
  </si>
  <si>
    <t>Net result of financial transactions</t>
  </si>
  <si>
    <t>Brokerage expenses</t>
  </si>
  <si>
    <t>Net brokerage income</t>
  </si>
  <si>
    <t>Depreciation</t>
  </si>
  <si>
    <t>Net profit</t>
  </si>
  <si>
    <t>Non-brokerage income / expenses</t>
  </si>
  <si>
    <t>Trading days</t>
  </si>
  <si>
    <t>Number of customers, thousands</t>
  </si>
  <si>
    <t>Yield</t>
  </si>
  <si>
    <t>N.A.</t>
  </si>
  <si>
    <t>Price / BV</t>
  </si>
  <si>
    <t>CAGR</t>
  </si>
  <si>
    <t>Annual data</t>
  </si>
  <si>
    <t>Quarterly data</t>
  </si>
  <si>
    <t>Operating margin</t>
  </si>
  <si>
    <t>Tax rate</t>
  </si>
  <si>
    <t>Q4/02</t>
  </si>
  <si>
    <t>Other operating income</t>
  </si>
  <si>
    <t>Number of commission notes</t>
  </si>
  <si>
    <t>NEG.</t>
  </si>
  <si>
    <t>Q4/00</t>
  </si>
  <si>
    <t>Annualised interest rate on deposits</t>
  </si>
  <si>
    <t>P/E, based on historical rolling 12-month profits</t>
  </si>
  <si>
    <t>Price / Savings capital</t>
  </si>
  <si>
    <t>Q3/07</t>
  </si>
  <si>
    <t>-</t>
  </si>
  <si>
    <t>Number of commission notes, institutionals customers</t>
  </si>
  <si>
    <t>Q4/07</t>
  </si>
  <si>
    <t>Q1/08</t>
  </si>
  <si>
    <t>Q2/08</t>
  </si>
  <si>
    <t>Q3/08</t>
  </si>
  <si>
    <t>Q4/08</t>
  </si>
  <si>
    <t>Q1/09</t>
  </si>
  <si>
    <t>Q2/09</t>
  </si>
  <si>
    <t>Q3/09</t>
  </si>
  <si>
    <t>Q4/09</t>
  </si>
  <si>
    <t>Q1/10</t>
  </si>
  <si>
    <t>Q2/10</t>
  </si>
  <si>
    <t>Q3/10</t>
  </si>
  <si>
    <t>Q4/10</t>
  </si>
  <si>
    <t>Q1/11</t>
  </si>
  <si>
    <t>Q2/11</t>
  </si>
  <si>
    <t>Q3/11</t>
  </si>
  <si>
    <t>Q4/11</t>
  </si>
  <si>
    <t>Q1/12</t>
  </si>
  <si>
    <t>Q2/12</t>
  </si>
  <si>
    <t>Q3/12</t>
  </si>
  <si>
    <t>Q4/12</t>
  </si>
  <si>
    <t>Q1/13</t>
  </si>
  <si>
    <t>Q2/13</t>
  </si>
  <si>
    <t>Q3/13</t>
  </si>
  <si>
    <t>Q4/13</t>
  </si>
  <si>
    <t>Q1/14</t>
  </si>
  <si>
    <t>Annualised income per customer, SEK</t>
  </si>
  <si>
    <t>Annualised expenses per customer, SEK</t>
  </si>
  <si>
    <t>Annualised operating profit per customer, SEK</t>
  </si>
  <si>
    <t>Q2/14</t>
  </si>
  <si>
    <t>Q3/14</t>
  </si>
  <si>
    <t>Q4/14</t>
  </si>
  <si>
    <t>Q1/15</t>
  </si>
  <si>
    <t>P&amp;L, SEK m</t>
  </si>
  <si>
    <t>Savings capital per customer, SEK m</t>
  </si>
  <si>
    <t>Deposits, SEK m</t>
  </si>
  <si>
    <t>Annualised income per employee, SEK m</t>
  </si>
  <si>
    <t>Annualised expenses per employee, SEK m</t>
  </si>
  <si>
    <t>Annualised operating profit per employee, SEK m</t>
  </si>
  <si>
    <t>Market capitalisation, SEK m</t>
  </si>
  <si>
    <t>Swedish savings market - net inflow, SEK m</t>
  </si>
  <si>
    <t>Swedish savings market - savings capital, SEK m</t>
  </si>
  <si>
    <t>Q2/15</t>
  </si>
  <si>
    <t>Fund commissions</t>
  </si>
  <si>
    <t>Total operating income</t>
  </si>
  <si>
    <t>Operating profit before credit losses</t>
  </si>
  <si>
    <t>Credit losses, net</t>
  </si>
  <si>
    <t>Equities, bonds, derivatives etc, SEK m</t>
  </si>
  <si>
    <t>Investment funds, SEK m</t>
  </si>
  <si>
    <t>Net deposits / Savings capital</t>
  </si>
  <si>
    <t>Number of commission notes, investment funds</t>
  </si>
  <si>
    <t>Total operating expenses / Savings capital</t>
  </si>
  <si>
    <t>Operating profit / Savings capital</t>
  </si>
  <si>
    <t>Net brokerage income / Equities, bonds etc</t>
  </si>
  <si>
    <t>Cost / income ratio</t>
  </si>
  <si>
    <t>Shareholders equity, SEK m</t>
  </si>
  <si>
    <t>Q3/15</t>
  </si>
  <si>
    <t>Q4/15</t>
  </si>
  <si>
    <t xml:space="preserve">   of which, external deposit accounts, SEK m</t>
  </si>
  <si>
    <t xml:space="preserve">   of which, client fund accounts, SEK m</t>
  </si>
  <si>
    <t>Interest expenses</t>
  </si>
  <si>
    <t>Q1/16</t>
  </si>
  <si>
    <t>Avanza takes no responsibility if any figures are incorrect.
This Excel-file is available on avanza.se/keydata</t>
  </si>
  <si>
    <t>Number of notes in brokerage class "Start"</t>
  </si>
  <si>
    <t>Q2/16</t>
  </si>
  <si>
    <t>Q3/16</t>
  </si>
  <si>
    <t>Total operating income / Savings capital</t>
  </si>
  <si>
    <t>Q4/16</t>
  </si>
  <si>
    <t>Q1/17</t>
  </si>
  <si>
    <t xml:space="preserve">Number of commission notes, Avanza Markets </t>
  </si>
  <si>
    <t>Q2/17</t>
  </si>
  <si>
    <t>Q3/17</t>
  </si>
  <si>
    <t>Total turnover, SEK m</t>
  </si>
  <si>
    <t>Q4/17</t>
  </si>
  <si>
    <t>Internally financed lending, SEK m</t>
  </si>
  <si>
    <t xml:space="preserve">   of which, margin lending, SEK m</t>
  </si>
  <si>
    <t>External mortgage loans (Bolån+), SEK m</t>
  </si>
  <si>
    <t>Q1/18</t>
  </si>
  <si>
    <t xml:space="preserve">   of which, mortgage loans (Superbolånet PB), SEK m</t>
  </si>
  <si>
    <t>Q2/18</t>
  </si>
  <si>
    <t>Credit losses / Internally financed lending</t>
  </si>
  <si>
    <t>Net brokerage income per trading day, SEK m</t>
  </si>
  <si>
    <t>Currency-related income</t>
  </si>
  <si>
    <t>Avanza Markets income</t>
  </si>
  <si>
    <t>Corporate Finance income</t>
  </si>
  <si>
    <t>Personnel</t>
  </si>
  <si>
    <t>Marketing</t>
  </si>
  <si>
    <t>Other expenses</t>
  </si>
  <si>
    <t xml:space="preserve">   of which Pension &amp; insurance savings capital, SEK m</t>
  </si>
  <si>
    <t>Annualised interest rate on internally financed lending</t>
  </si>
  <si>
    <t>Private Banking, SEK m</t>
  </si>
  <si>
    <t>Pro, SEK m</t>
  </si>
  <si>
    <t>Net inflow, total, SEK m</t>
  </si>
  <si>
    <t>Number of commission notes per customer</t>
  </si>
  <si>
    <t>Commission notes per customer and month</t>
  </si>
  <si>
    <t>Commission notes per customer and day</t>
  </si>
  <si>
    <t>Number of employees (FTEs)</t>
  </si>
  <si>
    <t>Average number of employees (FTEs)</t>
  </si>
  <si>
    <t>Return on shareholders equity (annualised)</t>
  </si>
  <si>
    <t>Profit margin</t>
  </si>
  <si>
    <t>OTHER FINANCIAL DATA</t>
  </si>
  <si>
    <t>CUSTOMER DATA</t>
  </si>
  <si>
    <t>NET INFLOW</t>
  </si>
  <si>
    <t>SAVINGS CAPITAL DISTRIBUTION</t>
  </si>
  <si>
    <t>SAVINGS CAPITAL PER CUSTOMER TYPE</t>
  </si>
  <si>
    <t>LENDING</t>
  </si>
  <si>
    <t>TRADING DATA</t>
  </si>
  <si>
    <t>EMPLOYEE DATA</t>
  </si>
  <si>
    <t>SHARE DATA</t>
  </si>
  <si>
    <t>MARKET SHARES</t>
  </si>
  <si>
    <t>NOTES</t>
  </si>
  <si>
    <t>KEY RATIOS - DEPOSITS AND LENDING</t>
  </si>
  <si>
    <t>Standard offer, SEK m</t>
  </si>
  <si>
    <t>Number of new customers (net), thousands</t>
  </si>
  <si>
    <t xml:space="preserve">   of which Occupational pensions savings capital, SEK m</t>
  </si>
  <si>
    <t>INCOME AND COSTS PER SAVINGS CAPITAL (ANNUALISED)</t>
  </si>
  <si>
    <t xml:space="preserve">A transfer of costs related to search engine marketing and similar services has been made. These are now reported as Other commission income (previously, Other operating expenses). </t>
  </si>
  <si>
    <t xml:space="preserve">Historical figures from 2013 onwards have been adjusted. </t>
  </si>
  <si>
    <t>Number of transactions, Nasdaq Stockholm, &amp; First North, market share</t>
  </si>
  <si>
    <t>Turnover, Nasdaq Stockholm &amp; First North, market share</t>
  </si>
  <si>
    <t>Avanza, market share savings capital</t>
  </si>
  <si>
    <t>INCOME AND COSTS PER SAVINGS CAPITAL</t>
  </si>
  <si>
    <t>Q3/18</t>
  </si>
  <si>
    <t>Q4/18</t>
  </si>
  <si>
    <t>Profit/loss from participations in associated companies</t>
  </si>
  <si>
    <t>Q1/19</t>
  </si>
  <si>
    <t>Q2/19</t>
  </si>
  <si>
    <t>Q3/19</t>
  </si>
  <si>
    <t>Q4/19</t>
  </si>
  <si>
    <t>Deposits / Savings capital</t>
  </si>
  <si>
    <t>Avanza - Annual Key Data 2001-2019</t>
  </si>
  <si>
    <t>Updated 2020-01-21</t>
  </si>
  <si>
    <t>Q1/20</t>
  </si>
  <si>
    <t>Q2/20</t>
  </si>
  <si>
    <t>Q3/20</t>
  </si>
  <si>
    <r>
      <t>2</t>
    </r>
    <r>
      <rPr>
        <sz val="10"/>
        <rFont val="Roboto"/>
      </rPr>
      <t xml:space="preserve"> Excluding restructuring costs and goodwill amortisation for 2001, excluding goodwill amortisation for 2002-2004</t>
    </r>
  </si>
  <si>
    <r>
      <t>Other net commission income</t>
    </r>
    <r>
      <rPr>
        <vertAlign val="superscript"/>
        <sz val="10"/>
        <rFont val="Roboto"/>
      </rPr>
      <t>1</t>
    </r>
  </si>
  <si>
    <r>
      <t>Total other commission income</t>
    </r>
    <r>
      <rPr>
        <b/>
        <vertAlign val="superscript"/>
        <sz val="10"/>
        <rFont val="Roboto"/>
      </rPr>
      <t>1</t>
    </r>
  </si>
  <si>
    <r>
      <t>Interest income</t>
    </r>
    <r>
      <rPr>
        <vertAlign val="superscript"/>
        <sz val="10"/>
        <rFont val="Roboto"/>
      </rPr>
      <t>1</t>
    </r>
  </si>
  <si>
    <r>
      <t>Total operating expenses before credit losses</t>
    </r>
    <r>
      <rPr>
        <b/>
        <vertAlign val="superscript"/>
        <sz val="10"/>
        <rFont val="Roboto"/>
      </rPr>
      <t>2</t>
    </r>
  </si>
  <si>
    <r>
      <t>Operating profit</t>
    </r>
    <r>
      <rPr>
        <b/>
        <vertAlign val="superscript"/>
        <sz val="10"/>
        <rFont val="Roboto"/>
      </rPr>
      <t>2</t>
    </r>
  </si>
  <si>
    <r>
      <t xml:space="preserve">1 </t>
    </r>
    <r>
      <rPr>
        <sz val="10"/>
        <rFont val="Roboto"/>
      </rPr>
      <t>Income related to savings account+ has been transferred from NII to Other commission income. Historical figures have been adjusted.</t>
    </r>
  </si>
  <si>
    <r>
      <t>Net interest income</t>
    </r>
    <r>
      <rPr>
        <b/>
        <vertAlign val="superscript"/>
        <sz val="10"/>
        <rFont val="Roboto"/>
      </rPr>
      <t>1</t>
    </r>
  </si>
  <si>
    <t>Q4/20</t>
  </si>
  <si>
    <r>
      <t>2001-20</t>
    </r>
    <r>
      <rPr>
        <b/>
        <vertAlign val="superscript"/>
        <sz val="10"/>
        <color indexed="9"/>
        <rFont val="Roboto"/>
      </rPr>
      <t>4</t>
    </r>
  </si>
  <si>
    <t>Adjusted operating profit</t>
  </si>
  <si>
    <t>Taxes</t>
  </si>
  <si>
    <r>
      <t>Capital base / Capital requirement</t>
    </r>
    <r>
      <rPr>
        <vertAlign val="superscript"/>
        <sz val="10"/>
        <rFont val="Roboto"/>
      </rPr>
      <t>5</t>
    </r>
  </si>
  <si>
    <r>
      <t>Savings capital, total, SEK m</t>
    </r>
    <r>
      <rPr>
        <b/>
        <vertAlign val="superscript"/>
        <sz val="10"/>
        <rFont val="Roboto"/>
      </rPr>
      <t>6</t>
    </r>
  </si>
  <si>
    <r>
      <t>Lending, total, SEK m</t>
    </r>
    <r>
      <rPr>
        <b/>
        <vertAlign val="superscript"/>
        <sz val="10"/>
        <rFont val="Roboto"/>
      </rPr>
      <t>6</t>
    </r>
  </si>
  <si>
    <r>
      <t>Fund commissions / Investment funds</t>
    </r>
    <r>
      <rPr>
        <vertAlign val="superscript"/>
        <sz val="10"/>
        <rFont val="Roboto"/>
      </rPr>
      <t>8</t>
    </r>
  </si>
  <si>
    <r>
      <t>Share price at end of period, SEK</t>
    </r>
    <r>
      <rPr>
        <vertAlign val="superscript"/>
        <sz val="10"/>
        <rFont val="Roboto"/>
      </rPr>
      <t>7</t>
    </r>
  </si>
  <si>
    <r>
      <t>Earnings per share, SEK</t>
    </r>
    <r>
      <rPr>
        <vertAlign val="superscript"/>
        <sz val="10"/>
        <rFont val="Roboto"/>
      </rPr>
      <t>7</t>
    </r>
  </si>
  <si>
    <r>
      <t>Earnings per share after dilution, SEK</t>
    </r>
    <r>
      <rPr>
        <vertAlign val="superscript"/>
        <sz val="10"/>
        <rFont val="Roboto"/>
      </rPr>
      <t>7</t>
    </r>
  </si>
  <si>
    <r>
      <t>Dividend per share, SEK</t>
    </r>
    <r>
      <rPr>
        <vertAlign val="superscript"/>
        <sz val="10"/>
        <rFont val="Roboto"/>
      </rPr>
      <t>7</t>
    </r>
  </si>
  <si>
    <r>
      <t>Number of outstanding shares</t>
    </r>
    <r>
      <rPr>
        <vertAlign val="superscript"/>
        <sz val="10"/>
        <rFont val="Roboto"/>
      </rPr>
      <t>7</t>
    </r>
  </si>
  <si>
    <r>
      <t>Average number of shares</t>
    </r>
    <r>
      <rPr>
        <vertAlign val="superscript"/>
        <sz val="10"/>
        <rFont val="Roboto"/>
      </rPr>
      <t>7</t>
    </r>
  </si>
  <si>
    <r>
      <t>Diluted average number of shares</t>
    </r>
    <r>
      <rPr>
        <vertAlign val="superscript"/>
        <sz val="10"/>
        <rFont val="Roboto"/>
      </rPr>
      <t>7</t>
    </r>
  </si>
  <si>
    <r>
      <t>5</t>
    </r>
    <r>
      <rPr>
        <sz val="10"/>
        <rFont val="Roboto"/>
      </rPr>
      <t xml:space="preserve"> Q3/15 and earlier have not been adjusted to new Solvency 2 rules that took effect on 01-01-2016. </t>
    </r>
  </si>
  <si>
    <r>
      <rPr>
        <vertAlign val="superscript"/>
        <sz val="10"/>
        <rFont val="Roboto"/>
      </rPr>
      <t>6</t>
    </r>
    <r>
      <rPr>
        <sz val="10"/>
        <rFont val="Roboto"/>
      </rPr>
      <t xml:space="preserve"> As of Q1/18, Avanza has changed the definition of "Savings capital". This means lending is no longer deducted from the savings capital, but reported separately. This gives a better view of the savings capital development, and allows a better comparison with other banks. Historical figures have been restated</t>
    </r>
  </si>
  <si>
    <r>
      <rPr>
        <vertAlign val="superscript"/>
        <sz val="10"/>
        <rFont val="Roboto"/>
      </rPr>
      <t>7</t>
    </r>
    <r>
      <rPr>
        <sz val="10"/>
        <rFont val="Roboto"/>
      </rPr>
      <t xml:space="preserve"> Updated according to the share split in April 2019</t>
    </r>
  </si>
  <si>
    <r>
      <rPr>
        <vertAlign val="superscript"/>
        <sz val="10"/>
        <rFont val="Roboto"/>
      </rPr>
      <t xml:space="preserve">8 </t>
    </r>
    <r>
      <rPr>
        <sz val="10"/>
        <rFont val="Roboto"/>
      </rPr>
      <t>Calculated on average fund volumes per day from 2019</t>
    </r>
  </si>
  <si>
    <r>
      <t>Earnings per share before dilution, SEK</t>
    </r>
    <r>
      <rPr>
        <vertAlign val="superscript"/>
        <sz val="10"/>
        <rFont val="Roboto"/>
      </rPr>
      <t>7</t>
    </r>
  </si>
  <si>
    <t>After 20 May</t>
  </si>
  <si>
    <t>Q1/21</t>
  </si>
  <si>
    <t>Updated 2021-04-20</t>
  </si>
  <si>
    <t>Avanza - Quarterly Key Data 2001-2021</t>
  </si>
  <si>
    <t>Fund commissions, net</t>
  </si>
  <si>
    <t>Currency-related income, net</t>
  </si>
  <si>
    <t xml:space="preserve">   of which foreign trading, SEK m</t>
  </si>
  <si>
    <r>
      <t>Avanza, market share net inflow</t>
    </r>
    <r>
      <rPr>
        <vertAlign val="superscript"/>
        <sz val="10"/>
        <rFont val="Roboto"/>
      </rPr>
      <t>9</t>
    </r>
  </si>
  <si>
    <r>
      <t>Avanza, market share net inflow rolling 12-month</t>
    </r>
    <r>
      <rPr>
        <vertAlign val="superscript"/>
        <sz val="10"/>
        <rFont val="Roboto"/>
      </rPr>
      <t>9</t>
    </r>
  </si>
  <si>
    <r>
      <t>2</t>
    </r>
    <r>
      <rPr>
        <sz val="10"/>
        <rFont val="Roboto"/>
      </rPr>
      <t xml:space="preserve"> Excluding restructuring costs and goodwill amortisation for 2001, excluding goodwill amortisation for 2002-2004</t>
    </r>
    <r>
      <rPr>
        <vertAlign val="superscript"/>
        <sz val="10"/>
        <rFont val="Roboto"/>
      </rPr>
      <t>.</t>
    </r>
  </si>
  <si>
    <r>
      <rPr>
        <vertAlign val="superscript"/>
        <sz val="10"/>
        <rFont val="Roboto"/>
      </rPr>
      <t>6</t>
    </r>
    <r>
      <rPr>
        <sz val="10"/>
        <rFont val="Roboto"/>
      </rPr>
      <t xml:space="preserve"> As of Q1/18, Avanza has changed the definition of "Savings capital". This means lending is no longer deducted from the savings capital, but reported separately. This gives a better view of the savings capital development, and allows a better comparison with other banks. Historical figures have been restated.</t>
    </r>
  </si>
  <si>
    <r>
      <rPr>
        <vertAlign val="superscript"/>
        <sz val="10"/>
        <rFont val="Roboto"/>
      </rPr>
      <t>7</t>
    </r>
    <r>
      <rPr>
        <sz val="10"/>
        <rFont val="Roboto"/>
      </rPr>
      <t xml:space="preserve"> Updated according to the share split in April 2019.</t>
    </r>
  </si>
  <si>
    <r>
      <rPr>
        <vertAlign val="superscript"/>
        <sz val="10"/>
        <rFont val="Roboto"/>
      </rPr>
      <t xml:space="preserve">8 </t>
    </r>
    <r>
      <rPr>
        <sz val="10"/>
        <rFont val="Roboto"/>
      </rPr>
      <t>Calculated on average fund volumes per day from 2019.</t>
    </r>
  </si>
  <si>
    <r>
      <t>9</t>
    </r>
    <r>
      <rPr>
        <sz val="10"/>
        <rFont val="Roboto"/>
      </rPr>
      <t xml:space="preserve"> Avanzas net inflow adjusted for change in lending</t>
    </r>
    <r>
      <rPr>
        <vertAlign val="superscript"/>
        <sz val="10"/>
        <rFont val="Roboto"/>
      </rPr>
      <t>.</t>
    </r>
  </si>
  <si>
    <r>
      <t>Brokerage income per commission note, SEK</t>
    </r>
    <r>
      <rPr>
        <vertAlign val="superscript"/>
        <sz val="10"/>
        <rFont val="Roboto"/>
      </rPr>
      <t>4</t>
    </r>
  </si>
  <si>
    <r>
      <t>Net brokerage income per commission note, SEK</t>
    </r>
    <r>
      <rPr>
        <vertAlign val="superscript"/>
        <sz val="10"/>
        <rFont val="Roboto"/>
      </rPr>
      <t>4</t>
    </r>
  </si>
  <si>
    <r>
      <t>4</t>
    </r>
    <r>
      <rPr>
        <sz val="10"/>
        <rFont val="Roboto"/>
      </rPr>
      <t xml:space="preserve"> Excluding commission notes for mutual funds, non-commission generating trades within Avanza Markets and brokerage class ¨Start¨, as well as institutional customers</t>
    </r>
    <r>
      <rPr>
        <vertAlign val="superscript"/>
        <sz val="10"/>
        <rFont val="Roboto"/>
      </rPr>
      <t>.</t>
    </r>
  </si>
  <si>
    <r>
      <t>3</t>
    </r>
    <r>
      <rPr>
        <sz val="10"/>
        <rFont val="Roboto"/>
      </rPr>
      <t xml:space="preserve"> Excluding turnover in mutual funds.</t>
    </r>
  </si>
  <si>
    <r>
      <t xml:space="preserve">9 </t>
    </r>
    <r>
      <rPr>
        <sz val="10"/>
        <rFont val="Roboto"/>
      </rPr>
      <t>Avanzas net inflow adjusted for change in lending</t>
    </r>
  </si>
  <si>
    <t>Brokerage income / Turnover in commission generating trading, %</t>
  </si>
  <si>
    <r>
      <t>Commission generating turnover, SEK m</t>
    </r>
    <r>
      <rPr>
        <vertAlign val="superscript"/>
        <sz val="10"/>
        <rFont val="Roboto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</si>
</sst>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#,##0.000"/>
    <numFmt numFmtId="166" formatCode="0.0%"/>
    <numFmt numFmtId="167" formatCode="0.000%"/>
    <numFmt numFmtId="168" formatCode="#,##0.0000"/>
    <numFmt numFmtId="169" formatCode="#,##0.000000"/>
    <numFmt numFmtId="170" formatCode="#,##0.00000"/>
  </numFmts>
  <fonts count="26" x14ac:knownFonts="1">
    <font>
      <sz val="10"/>
      <name val="Arial"/>
    </font>
    <font>
      <sz val="10"/>
      <name val="Arial"/>
      <family val="2"/>
    </font>
    <font>
      <sz val="10"/>
      <color indexed="10"/>
      <name val="Roboto"/>
    </font>
    <font>
      <sz val="10"/>
      <name val="Roboto"/>
    </font>
    <font>
      <sz val="8"/>
      <name val="Roboto"/>
    </font>
    <font>
      <b/>
      <sz val="10"/>
      <name val="Roboto"/>
    </font>
    <font>
      <b/>
      <sz val="10"/>
      <color indexed="10"/>
      <name val="Roboto"/>
    </font>
    <font>
      <b/>
      <vertAlign val="superscript"/>
      <sz val="10"/>
      <name val="Roboto"/>
    </font>
    <font>
      <vertAlign val="superscript"/>
      <sz val="10"/>
      <name val="Roboto"/>
    </font>
    <font>
      <u/>
      <sz val="10"/>
      <name val="Roboto"/>
    </font>
    <font>
      <u/>
      <sz val="10"/>
      <color indexed="10"/>
      <name val="Roboto"/>
    </font>
    <font>
      <sz val="9"/>
      <name val="Roboto"/>
    </font>
    <font>
      <vertAlign val="superscript"/>
      <sz val="10"/>
      <color indexed="10"/>
      <name val="Roboto"/>
    </font>
    <font>
      <sz val="9"/>
      <color indexed="81"/>
      <name val="Tahoma"/>
      <family val="2"/>
    </font>
    <font>
      <b/>
      <vertAlign val="superscript"/>
      <sz val="10"/>
      <color indexed="9"/>
      <name val="Roboto"/>
    </font>
    <font>
      <sz val="11"/>
      <color theme="1"/>
      <name val="Roboto"/>
      <family val="2"/>
      <scheme val="minor"/>
    </font>
    <font>
      <sz val="10"/>
      <color rgb="FFFF0000"/>
      <name val="Roboto"/>
    </font>
    <font>
      <b/>
      <sz val="10"/>
      <color rgb="FFFF0000"/>
      <name val="Roboto"/>
    </font>
    <font>
      <b/>
      <sz val="10"/>
      <color rgb="FFFFFFFF"/>
      <name val="Roboto"/>
    </font>
    <font>
      <sz val="10"/>
      <color rgb="FFFFFFFF"/>
      <name val="Roboto"/>
    </font>
    <font>
      <b/>
      <sz val="10"/>
      <color theme="4"/>
      <name val="Roboto"/>
    </font>
    <font>
      <b/>
      <sz val="11"/>
      <color theme="4"/>
      <name val="Roboto Avanza Slab"/>
      <scheme val="major"/>
    </font>
    <font>
      <i/>
      <sz val="10"/>
      <name val="Roboto"/>
    </font>
    <font>
      <i/>
      <sz val="10"/>
      <color indexed="10"/>
      <name val="Roboto"/>
    </font>
    <font>
      <i/>
      <sz val="10"/>
      <name val="Arial"/>
      <family val="2"/>
    </font>
    <font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5" fillId="0" borderId="0"/>
    <xf numFmtId="9" fontId="1" fillId="0" borderId="0" applyFont="0" applyFill="0" applyBorder="0" applyAlignment="0" applyProtection="0"/>
  </cellStyleXfs>
  <cellXfs count="47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/>
    <xf numFmtId="0" fontId="2" fillId="0" borderId="0" xfId="0" applyFont="1" applyFill="1" applyBorder="1"/>
    <xf numFmtId="0" fontId="3" fillId="0" borderId="4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49" fontId="5" fillId="0" borderId="13" xfId="0" applyNumberFormat="1" applyFont="1" applyFill="1" applyBorder="1" applyAlignment="1">
      <alignment horizontal="right"/>
    </xf>
    <xf numFmtId="0" fontId="5" fillId="0" borderId="4" xfId="0" applyFont="1" applyFill="1" applyBorder="1"/>
    <xf numFmtId="0" fontId="6" fillId="0" borderId="5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49" fontId="5" fillId="0" borderId="17" xfId="0" applyNumberFormat="1" applyFont="1" applyFill="1" applyBorder="1" applyAlignment="1">
      <alignment horizontal="right"/>
    </xf>
    <xf numFmtId="0" fontId="5" fillId="0" borderId="0" xfId="0" applyFont="1" applyFill="1"/>
    <xf numFmtId="3" fontId="3" fillId="0" borderId="8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1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0" fontId="3" fillId="0" borderId="19" xfId="0" applyFont="1" applyFill="1" applyBorder="1"/>
    <xf numFmtId="0" fontId="2" fillId="0" borderId="20" xfId="0" applyFont="1" applyFill="1" applyBorder="1"/>
    <xf numFmtId="3" fontId="3" fillId="0" borderId="21" xfId="0" applyNumberFormat="1" applyFont="1" applyFill="1" applyBorder="1" applyAlignment="1">
      <alignment horizontal="right"/>
    </xf>
    <xf numFmtId="3" fontId="3" fillId="0" borderId="22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9" fontId="3" fillId="0" borderId="25" xfId="2" applyFont="1" applyFill="1" applyBorder="1" applyAlignment="1">
      <alignment horizontal="right"/>
    </xf>
    <xf numFmtId="0" fontId="3" fillId="0" borderId="26" xfId="0" applyFont="1" applyFill="1" applyBorder="1"/>
    <xf numFmtId="0" fontId="2" fillId="0" borderId="27" xfId="0" applyFont="1" applyFill="1" applyBorder="1"/>
    <xf numFmtId="3" fontId="3" fillId="0" borderId="28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" fillId="0" borderId="27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0" fontId="5" fillId="0" borderId="26" xfId="0" applyFont="1" applyFill="1" applyBorder="1"/>
    <xf numFmtId="0" fontId="6" fillId="0" borderId="27" xfId="0" applyFont="1" applyFill="1" applyBorder="1"/>
    <xf numFmtId="3" fontId="5" fillId="0" borderId="28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9" fontId="5" fillId="0" borderId="25" xfId="2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0" fontId="2" fillId="0" borderId="5" xfId="0" applyFont="1" applyFill="1" applyBorder="1"/>
    <xf numFmtId="3" fontId="3" fillId="0" borderId="14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9" fontId="3" fillId="0" borderId="34" xfId="2" applyFont="1" applyFill="1" applyBorder="1" applyAlignment="1">
      <alignment horizontal="right"/>
    </xf>
    <xf numFmtId="0" fontId="5" fillId="0" borderId="3" xfId="0" applyFont="1" applyFill="1" applyBorder="1"/>
    <xf numFmtId="0" fontId="6" fillId="0" borderId="0" xfId="0" applyFont="1" applyFill="1" applyBorder="1"/>
    <xf numFmtId="3" fontId="5" fillId="0" borderId="8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9" fontId="5" fillId="0" borderId="13" xfId="2" applyFont="1" applyFill="1" applyBorder="1" applyAlignment="1">
      <alignment horizontal="right"/>
    </xf>
    <xf numFmtId="3" fontId="3" fillId="0" borderId="36" xfId="0" applyNumberFormat="1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/>
    </xf>
    <xf numFmtId="3" fontId="3" fillId="0" borderId="37" xfId="0" applyNumberFormat="1" applyFont="1" applyFill="1" applyBorder="1" applyAlignment="1">
      <alignment horizontal="right"/>
    </xf>
    <xf numFmtId="1" fontId="3" fillId="0" borderId="28" xfId="0" applyNumberFormat="1" applyFont="1" applyFill="1" applyBorder="1" applyAlignment="1">
      <alignment horizontal="right"/>
    </xf>
    <xf numFmtId="0" fontId="3" fillId="0" borderId="38" xfId="0" applyFont="1" applyFill="1" applyBorder="1"/>
    <xf numFmtId="3" fontId="3" fillId="0" borderId="39" xfId="0" applyNumberFormat="1" applyFont="1" applyFill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9" fontId="5" fillId="0" borderId="17" xfId="2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164" fontId="3" fillId="0" borderId="21" xfId="0" applyNumberFormat="1" applyFont="1" applyFill="1" applyBorder="1" applyAlignment="1">
      <alignment horizontal="right"/>
    </xf>
    <xf numFmtId="9" fontId="3" fillId="0" borderId="17" xfId="2" applyFont="1" applyFill="1" applyBorder="1" applyAlignment="1">
      <alignment horizontal="right"/>
    </xf>
    <xf numFmtId="9" fontId="3" fillId="0" borderId="43" xfId="2" applyFont="1" applyFill="1" applyBorder="1" applyAlignment="1">
      <alignment horizontal="right"/>
    </xf>
    <xf numFmtId="164" fontId="3" fillId="0" borderId="28" xfId="0" applyNumberFormat="1" applyFont="1" applyFill="1" applyBorder="1" applyAlignment="1">
      <alignment horizontal="right"/>
    </xf>
    <xf numFmtId="164" fontId="3" fillId="0" borderId="29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4" fontId="3" fillId="0" borderId="28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horizontal="right"/>
    </xf>
    <xf numFmtId="4" fontId="3" fillId="0" borderId="29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9" fontId="3" fillId="0" borderId="13" xfId="2" applyFont="1" applyFill="1" applyBorder="1" applyAlignment="1">
      <alignment horizontal="right"/>
    </xf>
    <xf numFmtId="4" fontId="3" fillId="0" borderId="21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44" xfId="0" applyFont="1" applyFill="1" applyBorder="1"/>
    <xf numFmtId="0" fontId="2" fillId="0" borderId="45" xfId="0" applyFont="1" applyFill="1" applyBorder="1"/>
    <xf numFmtId="3" fontId="3" fillId="0" borderId="46" xfId="0" applyNumberFormat="1" applyFont="1" applyFill="1" applyBorder="1" applyAlignment="1">
      <alignment horizontal="right"/>
    </xf>
    <xf numFmtId="3" fontId="3" fillId="0" borderId="47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9" fontId="3" fillId="0" borderId="48" xfId="2" applyFont="1" applyFill="1" applyBorder="1" applyAlignment="1">
      <alignment horizontal="right"/>
    </xf>
    <xf numFmtId="0" fontId="3" fillId="0" borderId="45" xfId="0" applyFont="1" applyFill="1" applyBorder="1"/>
    <xf numFmtId="3" fontId="16" fillId="0" borderId="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9" fontId="3" fillId="0" borderId="46" xfId="0" applyNumberFormat="1" applyFont="1" applyFill="1" applyBorder="1" applyAlignment="1">
      <alignment horizontal="right"/>
    </xf>
    <xf numFmtId="9" fontId="3" fillId="0" borderId="45" xfId="0" applyNumberFormat="1" applyFont="1" applyFill="1" applyBorder="1" applyAlignment="1">
      <alignment horizontal="right"/>
    </xf>
    <xf numFmtId="9" fontId="3" fillId="0" borderId="47" xfId="0" applyNumberFormat="1" applyFont="1" applyFill="1" applyBorder="1" applyAlignment="1">
      <alignment horizontal="right"/>
    </xf>
    <xf numFmtId="9" fontId="3" fillId="0" borderId="49" xfId="0" applyNumberFormat="1" applyFont="1" applyFill="1" applyBorder="1" applyAlignment="1">
      <alignment horizontal="right"/>
    </xf>
    <xf numFmtId="0" fontId="9" fillId="0" borderId="3" xfId="0" applyFont="1" applyFill="1" applyBorder="1"/>
    <xf numFmtId="0" fontId="10" fillId="0" borderId="12" xfId="0" applyFont="1" applyFill="1" applyBorder="1"/>
    <xf numFmtId="0" fontId="2" fillId="0" borderId="50" xfId="0" applyFont="1" applyFill="1" applyBorder="1"/>
    <xf numFmtId="9" fontId="3" fillId="0" borderId="28" xfId="0" applyNumberFormat="1" applyFont="1" applyFill="1" applyBorder="1" applyAlignment="1">
      <alignment horizontal="right"/>
    </xf>
    <xf numFmtId="9" fontId="3" fillId="0" borderId="27" xfId="0" applyNumberFormat="1" applyFont="1" applyFill="1" applyBorder="1" applyAlignment="1">
      <alignment horizontal="right"/>
    </xf>
    <xf numFmtId="9" fontId="3" fillId="0" borderId="29" xfId="0" applyNumberFormat="1" applyFont="1" applyFill="1" applyBorder="1" applyAlignment="1">
      <alignment horizontal="right"/>
    </xf>
    <xf numFmtId="9" fontId="3" fillId="0" borderId="31" xfId="0" applyNumberFormat="1" applyFont="1" applyFill="1" applyBorder="1" applyAlignment="1">
      <alignment horizontal="right"/>
    </xf>
    <xf numFmtId="166" fontId="3" fillId="0" borderId="28" xfId="0" applyNumberFormat="1" applyFont="1" applyFill="1" applyBorder="1" applyAlignment="1">
      <alignment horizontal="right"/>
    </xf>
    <xf numFmtId="166" fontId="3" fillId="0" borderId="31" xfId="0" applyNumberFormat="1" applyFont="1" applyFill="1" applyBorder="1" applyAlignment="1">
      <alignment horizontal="right"/>
    </xf>
    <xf numFmtId="3" fontId="3" fillId="0" borderId="43" xfId="0" applyNumberFormat="1" applyFont="1" applyFill="1" applyBorder="1" applyAlignment="1">
      <alignment horizontal="right"/>
    </xf>
    <xf numFmtId="166" fontId="3" fillId="0" borderId="28" xfId="2" applyNumberFormat="1" applyFont="1" applyFill="1" applyBorder="1" applyAlignment="1">
      <alignment horizontal="right"/>
    </xf>
    <xf numFmtId="166" fontId="3" fillId="0" borderId="29" xfId="2" applyNumberFormat="1" applyFont="1" applyFill="1" applyBorder="1" applyAlignment="1">
      <alignment horizontal="right"/>
    </xf>
    <xf numFmtId="166" fontId="3" fillId="0" borderId="27" xfId="2" applyNumberFormat="1" applyFont="1" applyFill="1" applyBorder="1" applyAlignment="1">
      <alignment horizontal="right"/>
    </xf>
    <xf numFmtId="166" fontId="3" fillId="0" borderId="31" xfId="2" applyNumberFormat="1" applyFont="1" applyFill="1" applyBorder="1" applyAlignment="1">
      <alignment horizontal="right"/>
    </xf>
    <xf numFmtId="0" fontId="10" fillId="0" borderId="0" xfId="0" applyFont="1" applyFill="1" applyBorder="1"/>
    <xf numFmtId="0" fontId="3" fillId="0" borderId="26" xfId="0" applyFont="1" applyFill="1" applyBorder="1" applyAlignment="1">
      <alignment horizontal="left" indent="1"/>
    </xf>
    <xf numFmtId="165" fontId="3" fillId="0" borderId="31" xfId="0" applyNumberFormat="1" applyFont="1" applyFill="1" applyBorder="1" applyAlignment="1">
      <alignment horizontal="right"/>
    </xf>
    <xf numFmtId="165" fontId="3" fillId="0" borderId="28" xfId="0" applyNumberFormat="1" applyFont="1" applyFill="1" applyBorder="1" applyAlignment="1">
      <alignment horizontal="right"/>
    </xf>
    <xf numFmtId="167" fontId="3" fillId="0" borderId="28" xfId="2" applyNumberFormat="1" applyFont="1" applyFill="1" applyBorder="1" applyAlignment="1">
      <alignment horizontal="right"/>
    </xf>
    <xf numFmtId="167" fontId="3" fillId="0" borderId="29" xfId="2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0" borderId="36" xfId="0" applyNumberFormat="1" applyFont="1" applyFill="1" applyBorder="1" applyAlignment="1">
      <alignment horizontal="right"/>
    </xf>
    <xf numFmtId="10" fontId="3" fillId="0" borderId="21" xfId="0" applyNumberFormat="1" applyFont="1" applyFill="1" applyBorder="1" applyAlignment="1">
      <alignment horizontal="right"/>
    </xf>
    <xf numFmtId="10" fontId="3" fillId="0" borderId="20" xfId="0" applyNumberFormat="1" applyFont="1" applyFill="1" applyBorder="1" applyAlignment="1">
      <alignment horizontal="right"/>
    </xf>
    <xf numFmtId="10" fontId="3" fillId="0" borderId="22" xfId="0" applyNumberFormat="1" applyFont="1" applyFill="1" applyBorder="1" applyAlignment="1">
      <alignment horizontal="right"/>
    </xf>
    <xf numFmtId="10" fontId="3" fillId="0" borderId="37" xfId="0" applyNumberFormat="1" applyFont="1" applyFill="1" applyBorder="1" applyAlignment="1">
      <alignment horizontal="right"/>
    </xf>
    <xf numFmtId="10" fontId="3" fillId="0" borderId="28" xfId="0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right"/>
    </xf>
    <xf numFmtId="10" fontId="3" fillId="0" borderId="29" xfId="0" applyNumberFormat="1" applyFont="1" applyFill="1" applyBorder="1" applyAlignment="1">
      <alignment horizontal="right"/>
    </xf>
    <xf numFmtId="10" fontId="3" fillId="0" borderId="31" xfId="0" applyNumberFormat="1" applyFont="1" applyFill="1" applyBorder="1" applyAlignment="1">
      <alignment horizontal="right"/>
    </xf>
    <xf numFmtId="10" fontId="2" fillId="0" borderId="45" xfId="0" applyNumberFormat="1" applyFont="1" applyFill="1" applyBorder="1" applyAlignment="1">
      <alignment horizontal="right"/>
    </xf>
    <xf numFmtId="10" fontId="3" fillId="0" borderId="46" xfId="0" applyNumberFormat="1" applyFont="1" applyFill="1" applyBorder="1" applyAlignment="1">
      <alignment horizontal="right"/>
    </xf>
    <xf numFmtId="10" fontId="3" fillId="0" borderId="45" xfId="0" applyNumberFormat="1" applyFont="1" applyFill="1" applyBorder="1" applyAlignment="1">
      <alignment horizontal="right"/>
    </xf>
    <xf numFmtId="10" fontId="3" fillId="0" borderId="47" xfId="0" applyNumberFormat="1" applyFont="1" applyFill="1" applyBorder="1" applyAlignment="1">
      <alignment horizontal="right"/>
    </xf>
    <xf numFmtId="10" fontId="3" fillId="0" borderId="49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3" fillId="0" borderId="8" xfId="0" applyNumberFormat="1" applyFont="1" applyFill="1" applyBorder="1" applyAlignment="1">
      <alignment horizontal="right"/>
    </xf>
    <xf numFmtId="10" fontId="3" fillId="0" borderId="9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36" xfId="0" applyNumberFormat="1" applyFont="1" applyFill="1" applyBorder="1" applyAlignment="1">
      <alignment horizontal="right"/>
    </xf>
    <xf numFmtId="10" fontId="16" fillId="0" borderId="8" xfId="0" applyNumberFormat="1" applyFont="1" applyFill="1" applyBorder="1" applyAlignment="1">
      <alignment horizontal="right"/>
    </xf>
    <xf numFmtId="10" fontId="16" fillId="0" borderId="9" xfId="0" applyNumberFormat="1" applyFont="1" applyFill="1" applyBorder="1" applyAlignment="1">
      <alignment horizontal="right"/>
    </xf>
    <xf numFmtId="9" fontId="3" fillId="0" borderId="21" xfId="0" applyNumberFormat="1" applyFont="1" applyFill="1" applyBorder="1" applyAlignment="1">
      <alignment horizontal="right"/>
    </xf>
    <xf numFmtId="9" fontId="3" fillId="0" borderId="20" xfId="0" applyNumberFormat="1" applyFont="1" applyFill="1" applyBorder="1" applyAlignment="1">
      <alignment horizontal="right"/>
    </xf>
    <xf numFmtId="9" fontId="3" fillId="0" borderId="22" xfId="0" applyNumberFormat="1" applyFont="1" applyFill="1" applyBorder="1" applyAlignment="1">
      <alignment horizontal="right"/>
    </xf>
    <xf numFmtId="9" fontId="3" fillId="0" borderId="37" xfId="0" applyNumberFormat="1" applyFont="1" applyFill="1" applyBorder="1" applyAlignment="1">
      <alignment horizontal="right"/>
    </xf>
    <xf numFmtId="9" fontId="3" fillId="0" borderId="14" xfId="0" applyNumberFormat="1" applyFont="1" applyFill="1" applyBorder="1" applyAlignment="1">
      <alignment horizontal="right"/>
    </xf>
    <xf numFmtId="9" fontId="3" fillId="0" borderId="15" xfId="0" applyNumberFormat="1" applyFont="1" applyFill="1" applyBorder="1" applyAlignment="1">
      <alignment horizontal="right"/>
    </xf>
    <xf numFmtId="9" fontId="3" fillId="0" borderId="5" xfId="0" applyNumberFormat="1" applyFont="1" applyFill="1" applyBorder="1" applyAlignment="1">
      <alignment horizontal="right"/>
    </xf>
    <xf numFmtId="9" fontId="3" fillId="0" borderId="16" xfId="0" applyNumberFormat="1" applyFont="1" applyFill="1" applyBorder="1" applyAlignment="1">
      <alignment horizontal="right"/>
    </xf>
    <xf numFmtId="9" fontId="3" fillId="2" borderId="5" xfId="0" applyNumberFormat="1" applyFont="1" applyFill="1" applyBorder="1" applyAlignment="1">
      <alignment horizontal="right"/>
    </xf>
    <xf numFmtId="9" fontId="3" fillId="2" borderId="14" xfId="0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35" xfId="0" applyFont="1" applyFill="1" applyBorder="1" applyAlignment="1">
      <alignment horizontal="right"/>
    </xf>
    <xf numFmtId="0" fontId="3" fillId="0" borderId="5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17" fontId="5" fillId="0" borderId="13" xfId="0" applyNumberFormat="1" applyFont="1" applyFill="1" applyBorder="1" applyAlignment="1">
      <alignment horizontal="right"/>
    </xf>
    <xf numFmtId="0" fontId="6" fillId="0" borderId="5" xfId="0" applyFont="1" applyFill="1" applyBorder="1"/>
    <xf numFmtId="0" fontId="5" fillId="0" borderId="18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9" fontId="3" fillId="0" borderId="8" xfId="2" applyFont="1" applyFill="1" applyBorder="1" applyAlignment="1">
      <alignment horizontal="right"/>
    </xf>
    <xf numFmtId="9" fontId="3" fillId="0" borderId="47" xfId="2" applyFont="1" applyFill="1" applyBorder="1" applyAlignment="1">
      <alignment horizontal="right"/>
    </xf>
    <xf numFmtId="9" fontId="3" fillId="0" borderId="46" xfId="2" applyFont="1" applyFill="1" applyBorder="1" applyAlignment="1">
      <alignment horizontal="right"/>
    </xf>
    <xf numFmtId="9" fontId="3" fillId="0" borderId="45" xfId="2" applyFont="1" applyFill="1" applyBorder="1" applyAlignment="1">
      <alignment horizontal="right"/>
    </xf>
    <xf numFmtId="9" fontId="3" fillId="0" borderId="36" xfId="2" applyFont="1" applyFill="1" applyBorder="1" applyAlignment="1">
      <alignment horizontal="right"/>
    </xf>
    <xf numFmtId="9" fontId="3" fillId="0" borderId="8" xfId="0" applyNumberFormat="1" applyFont="1" applyFill="1" applyBorder="1" applyAlignment="1">
      <alignment horizontal="right"/>
    </xf>
    <xf numFmtId="9" fontId="3" fillId="0" borderId="9" xfId="0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9" fontId="3" fillId="0" borderId="36" xfId="0" applyNumberFormat="1" applyFont="1" applyFill="1" applyBorder="1" applyAlignment="1">
      <alignment horizontal="right"/>
    </xf>
    <xf numFmtId="9" fontId="16" fillId="0" borderId="8" xfId="0" applyNumberFormat="1" applyFont="1" applyFill="1" applyBorder="1" applyAlignment="1">
      <alignment horizontal="right"/>
    </xf>
    <xf numFmtId="9" fontId="16" fillId="0" borderId="9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16" fillId="0" borderId="8" xfId="0" applyNumberFormat="1" applyFont="1" applyFill="1" applyBorder="1" applyAlignment="1">
      <alignment horizontal="right"/>
    </xf>
    <xf numFmtId="4" fontId="16" fillId="0" borderId="9" xfId="0" applyNumberFormat="1" applyFont="1" applyFill="1" applyBorder="1" applyAlignment="1">
      <alignment horizontal="right"/>
    </xf>
    <xf numFmtId="166" fontId="3" fillId="0" borderId="21" xfId="2" applyNumberFormat="1" applyFont="1" applyFill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166" fontId="3" fillId="0" borderId="8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3" fillId="0" borderId="36" xfId="0" applyNumberFormat="1" applyFont="1" applyFill="1" applyBorder="1" applyAlignment="1">
      <alignment horizontal="right"/>
    </xf>
    <xf numFmtId="166" fontId="16" fillId="0" borderId="8" xfId="0" applyNumberFormat="1" applyFont="1" applyFill="1" applyBorder="1" applyAlignment="1">
      <alignment horizontal="right"/>
    </xf>
    <xf numFmtId="166" fontId="16" fillId="0" borderId="9" xfId="0" applyNumberFormat="1" applyFont="1" applyFill="1" applyBorder="1" applyAlignment="1">
      <alignment horizontal="right"/>
    </xf>
    <xf numFmtId="1" fontId="2" fillId="0" borderId="20" xfId="0" applyNumberFormat="1" applyFont="1" applyFill="1" applyBorder="1"/>
    <xf numFmtId="4" fontId="3" fillId="0" borderId="22" xfId="0" applyNumberFormat="1" applyFont="1" applyFill="1" applyBorder="1" applyAlignment="1">
      <alignment horizontal="right"/>
    </xf>
    <xf numFmtId="4" fontId="3" fillId="0" borderId="37" xfId="0" applyNumberFormat="1" applyFont="1" applyFill="1" applyBorder="1" applyAlignment="1">
      <alignment horizontal="right"/>
    </xf>
    <xf numFmtId="2" fontId="3" fillId="0" borderId="28" xfId="0" applyNumberFormat="1" applyFont="1" applyFill="1" applyBorder="1" applyAlignment="1">
      <alignment horizontal="right"/>
    </xf>
    <xf numFmtId="2" fontId="3" fillId="0" borderId="29" xfId="0" applyNumberFormat="1" applyFont="1" applyFill="1" applyBorder="1" applyAlignment="1">
      <alignment horizontal="right"/>
    </xf>
    <xf numFmtId="2" fontId="3" fillId="0" borderId="31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36" xfId="0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right"/>
    </xf>
    <xf numFmtId="3" fontId="3" fillId="0" borderId="47" xfId="2" applyNumberFormat="1" applyFont="1" applyFill="1" applyBorder="1" applyAlignment="1">
      <alignment horizontal="right"/>
    </xf>
    <xf numFmtId="3" fontId="3" fillId="0" borderId="46" xfId="2" applyNumberFormat="1" applyFont="1" applyFill="1" applyBorder="1" applyAlignment="1">
      <alignment horizontal="right"/>
    </xf>
    <xf numFmtId="3" fontId="3" fillId="0" borderId="45" xfId="2" applyNumberFormat="1" applyFont="1" applyFill="1" applyBorder="1" applyAlignment="1">
      <alignment horizontal="right"/>
    </xf>
    <xf numFmtId="166" fontId="3" fillId="0" borderId="37" xfId="2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right"/>
    </xf>
    <xf numFmtId="0" fontId="17" fillId="0" borderId="13" xfId="0" applyFont="1" applyFill="1" applyBorder="1" applyAlignment="1">
      <alignment horizontal="right"/>
    </xf>
    <xf numFmtId="166" fontId="16" fillId="0" borderId="0" xfId="0" applyNumberFormat="1" applyFont="1" applyFill="1" applyBorder="1" applyAlignment="1">
      <alignment horizontal="right"/>
    </xf>
    <xf numFmtId="166" fontId="3" fillId="0" borderId="21" xfId="0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>
      <alignment horizontal="right"/>
    </xf>
    <xf numFmtId="166" fontId="3" fillId="0" borderId="14" xfId="2" applyNumberFormat="1" applyFont="1" applyFill="1" applyBorder="1" applyAlignment="1">
      <alignment horizontal="right"/>
    </xf>
    <xf numFmtId="166" fontId="3" fillId="0" borderId="33" xfId="2" applyNumberFormat="1" applyFont="1" applyFill="1" applyBorder="1" applyAlignment="1">
      <alignment horizontal="right"/>
    </xf>
    <xf numFmtId="166" fontId="3" fillId="0" borderId="39" xfId="2" applyNumberFormat="1" applyFont="1" applyFill="1" applyBorder="1" applyAlignment="1">
      <alignment horizontal="right"/>
    </xf>
    <xf numFmtId="10" fontId="3" fillId="0" borderId="33" xfId="2" applyNumberFormat="1" applyFont="1" applyFill="1" applyBorder="1" applyAlignment="1">
      <alignment horizontal="right"/>
    </xf>
    <xf numFmtId="10" fontId="3" fillId="0" borderId="32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/>
    <xf numFmtId="0" fontId="12" fillId="0" borderId="0" xfId="0" applyFont="1" applyFill="1"/>
    <xf numFmtId="3" fontId="5" fillId="0" borderId="47" xfId="0" applyNumberFormat="1" applyFont="1" applyFill="1" applyBorder="1" applyAlignment="1">
      <alignment horizontal="right"/>
    </xf>
    <xf numFmtId="3" fontId="5" fillId="0" borderId="46" xfId="0" applyNumberFormat="1" applyFont="1" applyFill="1" applyBorder="1" applyAlignment="1">
      <alignment horizontal="right"/>
    </xf>
    <xf numFmtId="0" fontId="5" fillId="0" borderId="44" xfId="0" applyFont="1" applyFill="1" applyBorder="1"/>
    <xf numFmtId="9" fontId="5" fillId="0" borderId="48" xfId="2" applyFont="1" applyFill="1" applyBorder="1" applyAlignment="1">
      <alignment horizontal="right"/>
    </xf>
    <xf numFmtId="0" fontId="3" fillId="0" borderId="20" xfId="0" applyFont="1" applyFill="1" applyBorder="1"/>
    <xf numFmtId="0" fontId="3" fillId="0" borderId="27" xfId="0" applyFont="1" applyFill="1" applyBorder="1"/>
    <xf numFmtId="0" fontId="5" fillId="0" borderId="45" xfId="0" applyFont="1" applyFill="1" applyBorder="1"/>
    <xf numFmtId="3" fontId="5" fillId="0" borderId="49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3" fontId="3" fillId="0" borderId="0" xfId="0" applyNumberFormat="1" applyFont="1" applyFill="1"/>
    <xf numFmtId="0" fontId="3" fillId="0" borderId="40" xfId="0" applyFont="1" applyFill="1" applyBorder="1"/>
    <xf numFmtId="1" fontId="3" fillId="0" borderId="8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9" fontId="5" fillId="0" borderId="43" xfId="2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0" fontId="5" fillId="0" borderId="19" xfId="0" applyFont="1" applyFill="1" applyBorder="1"/>
    <xf numFmtId="0" fontId="6" fillId="0" borderId="20" xfId="0" applyFont="1" applyFill="1" applyBorder="1"/>
    <xf numFmtId="3" fontId="5" fillId="0" borderId="0" xfId="0" applyNumberFormat="1" applyFont="1" applyFill="1"/>
    <xf numFmtId="164" fontId="3" fillId="0" borderId="37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9" fontId="3" fillId="0" borderId="28" xfId="2" applyNumberFormat="1" applyFont="1" applyFill="1" applyBorder="1" applyAlignment="1">
      <alignment horizontal="right"/>
    </xf>
    <xf numFmtId="9" fontId="3" fillId="0" borderId="31" xfId="2" applyNumberFormat="1" applyFont="1" applyFill="1" applyBorder="1" applyAlignment="1">
      <alignment horizontal="right"/>
    </xf>
    <xf numFmtId="0" fontId="2" fillId="0" borderId="52" xfId="0" applyFont="1" applyFill="1" applyBorder="1"/>
    <xf numFmtId="0" fontId="5" fillId="0" borderId="27" xfId="0" applyFont="1" applyFill="1" applyBorder="1"/>
    <xf numFmtId="0" fontId="3" fillId="0" borderId="50" xfId="0" applyFont="1" applyFill="1" applyBorder="1"/>
    <xf numFmtId="0" fontId="3" fillId="0" borderId="52" xfId="0" applyFont="1" applyFill="1" applyBorder="1"/>
    <xf numFmtId="166" fontId="3" fillId="0" borderId="46" xfId="2" applyNumberFormat="1" applyFont="1" applyFill="1" applyBorder="1" applyAlignment="1">
      <alignment horizontal="right"/>
    </xf>
    <xf numFmtId="166" fontId="3" fillId="0" borderId="47" xfId="2" applyNumberFormat="1" applyFont="1" applyFill="1" applyBorder="1" applyAlignment="1">
      <alignment horizontal="right"/>
    </xf>
    <xf numFmtId="166" fontId="3" fillId="0" borderId="45" xfId="2" applyNumberFormat="1" applyFont="1" applyFill="1" applyBorder="1" applyAlignment="1">
      <alignment horizontal="right"/>
    </xf>
    <xf numFmtId="166" fontId="3" fillId="0" borderId="49" xfId="2" applyNumberFormat="1" applyFont="1" applyFill="1" applyBorder="1" applyAlignment="1">
      <alignment horizontal="right"/>
    </xf>
    <xf numFmtId="166" fontId="3" fillId="0" borderId="22" xfId="2" applyNumberFormat="1" applyFont="1" applyFill="1" applyBorder="1" applyAlignment="1">
      <alignment horizontal="right"/>
    </xf>
    <xf numFmtId="166" fontId="3" fillId="0" borderId="20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Alignment="1">
      <alignment horizontal="right"/>
    </xf>
    <xf numFmtId="166" fontId="3" fillId="0" borderId="9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66" fontId="3" fillId="0" borderId="18" xfId="2" applyNumberFormat="1" applyFont="1" applyFill="1" applyBorder="1" applyAlignment="1">
      <alignment horizontal="right"/>
    </xf>
    <xf numFmtId="166" fontId="3" fillId="0" borderId="36" xfId="2" applyNumberFormat="1" applyFont="1" applyFill="1" applyBorder="1" applyAlignment="1">
      <alignment horizontal="right"/>
    </xf>
    <xf numFmtId="0" fontId="18" fillId="3" borderId="1" xfId="0" applyFont="1" applyFill="1" applyBorder="1"/>
    <xf numFmtId="0" fontId="18" fillId="3" borderId="2" xfId="0" applyFont="1" applyFill="1" applyBorder="1"/>
    <xf numFmtId="0" fontId="18" fillId="3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horizontal="right"/>
    </xf>
    <xf numFmtId="0" fontId="19" fillId="3" borderId="53" xfId="0" applyFont="1" applyFill="1" applyBorder="1" applyAlignment="1">
      <alignment horizontal="right"/>
    </xf>
    <xf numFmtId="0" fontId="19" fillId="3" borderId="3" xfId="0" applyFont="1" applyFill="1" applyBorder="1"/>
    <xf numFmtId="0" fontId="19" fillId="3" borderId="0" xfId="0" applyFont="1" applyFill="1" applyBorder="1"/>
    <xf numFmtId="0" fontId="19" fillId="3" borderId="0" xfId="0" applyFont="1" applyFill="1" applyBorder="1" applyAlignment="1">
      <alignment horizontal="right"/>
    </xf>
    <xf numFmtId="0" fontId="19" fillId="3" borderId="54" xfId="0" applyFont="1" applyFill="1" applyBorder="1" applyAlignment="1">
      <alignment horizontal="right"/>
    </xf>
    <xf numFmtId="0" fontId="19" fillId="3" borderId="4" xfId="0" applyFont="1" applyFill="1" applyBorder="1"/>
    <xf numFmtId="0" fontId="19" fillId="3" borderId="5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right"/>
    </xf>
    <xf numFmtId="0" fontId="20" fillId="0" borderId="4" xfId="0" applyFont="1" applyFill="1" applyBorder="1"/>
    <xf numFmtId="0" fontId="20" fillId="0" borderId="3" xfId="0" applyFont="1" applyFill="1" applyBorder="1"/>
    <xf numFmtId="0" fontId="20" fillId="0" borderId="0" xfId="0" applyFont="1" applyFill="1"/>
    <xf numFmtId="0" fontId="21" fillId="0" borderId="0" xfId="0" applyFont="1" applyFill="1" applyAlignment="1">
      <alignment vertical="center"/>
    </xf>
    <xf numFmtId="0" fontId="18" fillId="3" borderId="55" xfId="0" applyFont="1" applyFill="1" applyBorder="1" applyAlignment="1">
      <alignment horizontal="left"/>
    </xf>
    <xf numFmtId="0" fontId="19" fillId="3" borderId="12" xfId="0" applyFont="1" applyFill="1" applyBorder="1" applyAlignment="1">
      <alignment horizontal="right"/>
    </xf>
    <xf numFmtId="17" fontId="18" fillId="3" borderId="54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right"/>
    </xf>
    <xf numFmtId="49" fontId="18" fillId="3" borderId="56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164" fontId="3" fillId="0" borderId="49" xfId="0" applyNumberFormat="1" applyFont="1" applyFill="1" applyBorder="1" applyAlignment="1">
      <alignment horizontal="right"/>
    </xf>
    <xf numFmtId="164" fontId="3" fillId="0" borderId="46" xfId="0" applyNumberFormat="1" applyFont="1" applyFill="1" applyBorder="1" applyAlignment="1">
      <alignment horizontal="right"/>
    </xf>
    <xf numFmtId="164" fontId="3" fillId="0" borderId="45" xfId="0" applyNumberFormat="1" applyFont="1" applyFill="1" applyBorder="1" applyAlignment="1">
      <alignment horizontal="right"/>
    </xf>
    <xf numFmtId="164" fontId="3" fillId="0" borderId="47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0" fontId="3" fillId="0" borderId="12" xfId="0" applyFont="1" applyFill="1" applyBorder="1"/>
    <xf numFmtId="9" fontId="5" fillId="0" borderId="8" xfId="2" applyFont="1" applyFill="1" applyBorder="1" applyAlignment="1">
      <alignment horizontal="right"/>
    </xf>
    <xf numFmtId="3" fontId="5" fillId="0" borderId="22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9" fontId="16" fillId="0" borderId="9" xfId="2" applyFont="1" applyFill="1" applyBorder="1" applyAlignment="1">
      <alignment horizontal="right"/>
    </xf>
    <xf numFmtId="9" fontId="3" fillId="2" borderId="15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9" fontId="3" fillId="0" borderId="29" xfId="2" applyNumberFormat="1" applyFont="1" applyFill="1" applyBorder="1" applyAlignment="1">
      <alignment horizontal="right"/>
    </xf>
    <xf numFmtId="166" fontId="3" fillId="0" borderId="29" xfId="0" applyNumberFormat="1" applyFont="1" applyFill="1" applyBorder="1" applyAlignment="1">
      <alignment horizontal="right"/>
    </xf>
    <xf numFmtId="10" fontId="3" fillId="0" borderId="22" xfId="2" applyNumberFormat="1" applyFont="1" applyFill="1" applyBorder="1" applyAlignment="1">
      <alignment horizontal="right"/>
    </xf>
    <xf numFmtId="10" fontId="3" fillId="0" borderId="39" xfId="2" applyNumberFormat="1" applyFont="1" applyFill="1" applyBorder="1" applyAlignment="1">
      <alignment horizontal="right"/>
    </xf>
    <xf numFmtId="0" fontId="18" fillId="3" borderId="54" xfId="0" applyFont="1" applyFill="1" applyBorder="1" applyAlignment="1">
      <alignment horizontal="right"/>
    </xf>
    <xf numFmtId="0" fontId="3" fillId="0" borderId="24" xfId="0" applyFont="1" applyFill="1" applyBorder="1"/>
    <xf numFmtId="0" fontId="3" fillId="0" borderId="57" xfId="0" applyFont="1" applyFill="1" applyBorder="1"/>
    <xf numFmtId="0" fontId="2" fillId="0" borderId="40" xfId="0" applyFont="1" applyFill="1" applyBorder="1"/>
    <xf numFmtId="9" fontId="11" fillId="0" borderId="58" xfId="2" applyFont="1" applyFill="1" applyBorder="1" applyAlignment="1">
      <alignment horizontal="right"/>
    </xf>
    <xf numFmtId="9" fontId="11" fillId="0" borderId="59" xfId="2" applyFont="1" applyFill="1" applyBorder="1" applyAlignment="1">
      <alignment horizontal="right"/>
    </xf>
    <xf numFmtId="9" fontId="11" fillId="0" borderId="60" xfId="2" applyFont="1" applyFill="1" applyBorder="1" applyAlignment="1">
      <alignment horizontal="right"/>
    </xf>
    <xf numFmtId="9" fontId="3" fillId="0" borderId="28" xfId="2" applyFont="1" applyFill="1" applyBorder="1" applyAlignment="1">
      <alignment horizontal="right"/>
    </xf>
    <xf numFmtId="9" fontId="5" fillId="0" borderId="51" xfId="2" applyFont="1" applyFill="1" applyBorder="1" applyAlignment="1">
      <alignment horizontal="right"/>
    </xf>
    <xf numFmtId="3" fontId="5" fillId="0" borderId="61" xfId="0" applyNumberFormat="1" applyFont="1" applyFill="1" applyBorder="1" applyAlignment="1">
      <alignment horizontal="right"/>
    </xf>
    <xf numFmtId="9" fontId="3" fillId="2" borderId="56" xfId="0" applyNumberFormat="1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3" fillId="2" borderId="54" xfId="0" applyFont="1" applyFill="1" applyBorder="1" applyAlignment="1">
      <alignment horizontal="right"/>
    </xf>
    <xf numFmtId="0" fontId="5" fillId="2" borderId="54" xfId="0" applyFont="1" applyFill="1" applyBorder="1" applyAlignment="1">
      <alignment horizontal="right"/>
    </xf>
    <xf numFmtId="9" fontId="3" fillId="0" borderId="62" xfId="2" applyFont="1" applyFill="1" applyBorder="1" applyAlignment="1">
      <alignment horizontal="right"/>
    </xf>
    <xf numFmtId="167" fontId="3" fillId="0" borderId="59" xfId="2" applyNumberFormat="1" applyFont="1" applyFill="1" applyBorder="1" applyAlignment="1">
      <alignment horizontal="right"/>
    </xf>
    <xf numFmtId="3" fontId="3" fillId="0" borderId="62" xfId="2" applyNumberFormat="1" applyFont="1" applyFill="1" applyBorder="1" applyAlignment="1">
      <alignment horizontal="right"/>
    </xf>
    <xf numFmtId="10" fontId="3" fillId="0" borderId="21" xfId="2" applyNumberFormat="1" applyFont="1" applyFill="1" applyBorder="1" applyAlignment="1">
      <alignment horizontal="right"/>
    </xf>
    <xf numFmtId="166" fontId="3" fillId="0" borderId="43" xfId="2" applyNumberFormat="1" applyFont="1" applyFill="1" applyBorder="1" applyAlignment="1">
      <alignment horizontal="right"/>
    </xf>
    <xf numFmtId="166" fontId="3" fillId="0" borderId="25" xfId="2" applyNumberFormat="1" applyFont="1" applyFill="1" applyBorder="1" applyAlignment="1">
      <alignment horizontal="right"/>
    </xf>
    <xf numFmtId="166" fontId="3" fillId="0" borderId="48" xfId="2" applyNumberFormat="1" applyFont="1" applyFill="1" applyBorder="1" applyAlignment="1">
      <alignment horizontal="right"/>
    </xf>
    <xf numFmtId="166" fontId="3" fillId="0" borderId="13" xfId="2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Fill="1"/>
    <xf numFmtId="0" fontId="3" fillId="0" borderId="8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53" xfId="0" applyFont="1" applyBorder="1" applyAlignment="1">
      <alignment horizontal="right"/>
    </xf>
    <xf numFmtId="0" fontId="5" fillId="0" borderId="56" xfId="0" applyFont="1" applyBorder="1" applyAlignment="1">
      <alignment horizontal="right"/>
    </xf>
    <xf numFmtId="3" fontId="3" fillId="0" borderId="54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3" fontId="3" fillId="0" borderId="59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60" xfId="0" applyNumberFormat="1" applyFont="1" applyBorder="1" applyAlignment="1">
      <alignment horizontal="right"/>
    </xf>
    <xf numFmtId="3" fontId="5" fillId="0" borderId="54" xfId="0" applyNumberFormat="1" applyFont="1" applyBorder="1" applyAlignment="1">
      <alignment horizontal="right"/>
    </xf>
    <xf numFmtId="9" fontId="3" fillId="0" borderId="58" xfId="0" applyNumberFormat="1" applyFont="1" applyBorder="1" applyAlignment="1">
      <alignment horizontal="right"/>
    </xf>
    <xf numFmtId="9" fontId="3" fillId="0" borderId="59" xfId="0" applyNumberFormat="1" applyFont="1" applyBorder="1" applyAlignment="1">
      <alignment horizontal="right"/>
    </xf>
    <xf numFmtId="9" fontId="3" fillId="0" borderId="54" xfId="0" applyNumberFormat="1" applyFont="1" applyBorder="1" applyAlignment="1">
      <alignment horizontal="right"/>
    </xf>
    <xf numFmtId="164" fontId="3" fillId="0" borderId="54" xfId="0" applyNumberFormat="1" applyFont="1" applyBorder="1" applyAlignment="1">
      <alignment horizontal="right"/>
    </xf>
    <xf numFmtId="166" fontId="3" fillId="0" borderId="54" xfId="0" applyNumberFormat="1" applyFont="1" applyBorder="1" applyAlignment="1">
      <alignment horizontal="right"/>
    </xf>
    <xf numFmtId="4" fontId="3" fillId="0" borderId="58" xfId="0" applyNumberFormat="1" applyFont="1" applyBorder="1" applyAlignment="1">
      <alignment horizontal="right"/>
    </xf>
    <xf numFmtId="3" fontId="3" fillId="0" borderId="62" xfId="0" applyNumberFormat="1" applyFont="1" applyBorder="1" applyAlignment="1">
      <alignment horizontal="right"/>
    </xf>
    <xf numFmtId="3" fontId="5" fillId="0" borderId="62" xfId="0" applyNumberFormat="1" applyFont="1" applyBorder="1" applyAlignment="1">
      <alignment horizontal="right"/>
    </xf>
    <xf numFmtId="4" fontId="3" fillId="0" borderId="59" xfId="0" applyNumberFormat="1" applyFont="1" applyBorder="1" applyAlignment="1">
      <alignment horizontal="right"/>
    </xf>
    <xf numFmtId="164" fontId="3" fillId="0" borderId="62" xfId="0" applyNumberFormat="1" applyFont="1" applyBorder="1" applyAlignment="1">
      <alignment horizontal="right"/>
    </xf>
    <xf numFmtId="10" fontId="3" fillId="0" borderId="58" xfId="0" applyNumberFormat="1" applyFont="1" applyBorder="1" applyAlignment="1">
      <alignment horizontal="right"/>
    </xf>
    <xf numFmtId="10" fontId="3" fillId="0" borderId="62" xfId="0" applyNumberFormat="1" applyFont="1" applyBorder="1" applyAlignment="1">
      <alignment horizontal="right"/>
    </xf>
    <xf numFmtId="10" fontId="3" fillId="0" borderId="54" xfId="0" applyNumberFormat="1" applyFont="1" applyBorder="1" applyAlignment="1">
      <alignment horizontal="right"/>
    </xf>
    <xf numFmtId="4" fontId="3" fillId="0" borderId="54" xfId="0" applyNumberFormat="1" applyFont="1" applyBorder="1" applyAlignment="1">
      <alignment horizontal="right"/>
    </xf>
    <xf numFmtId="2" fontId="3" fillId="0" borderId="59" xfId="0" applyNumberFormat="1" applyFont="1" applyBorder="1" applyAlignment="1">
      <alignment horizontal="right"/>
    </xf>
    <xf numFmtId="9" fontId="3" fillId="0" borderId="43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3" fontId="16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9" fillId="3" borderId="0" xfId="0" applyFont="1" applyFill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3" fontId="3" fillId="0" borderId="28" xfId="0" applyNumberFormat="1" applyFont="1" applyBorder="1" applyAlignment="1">
      <alignment horizontal="right"/>
    </xf>
    <xf numFmtId="3" fontId="5" fillId="0" borderId="28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3" fillId="0" borderId="33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9" fontId="3" fillId="0" borderId="21" xfId="0" applyNumberFormat="1" applyFont="1" applyBorder="1" applyAlignment="1">
      <alignment horizontal="right"/>
    </xf>
    <xf numFmtId="9" fontId="3" fillId="0" borderId="2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4" fontId="3" fillId="0" borderId="28" xfId="0" applyNumberFormat="1" applyFont="1" applyBorder="1" applyAlignment="1">
      <alignment horizontal="right"/>
    </xf>
    <xf numFmtId="9" fontId="3" fillId="0" borderId="46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3" fontId="3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166" fontId="3" fillId="0" borderId="28" xfId="0" applyNumberFormat="1" applyFont="1" applyBorder="1" applyAlignment="1">
      <alignment horizontal="right"/>
    </xf>
    <xf numFmtId="164" fontId="3" fillId="0" borderId="46" xfId="0" applyNumberFormat="1" applyFont="1" applyBorder="1" applyAlignment="1">
      <alignment horizontal="right"/>
    </xf>
    <xf numFmtId="10" fontId="3" fillId="0" borderId="21" xfId="0" applyNumberFormat="1" applyFont="1" applyBorder="1" applyAlignment="1">
      <alignment horizontal="right"/>
    </xf>
    <xf numFmtId="10" fontId="3" fillId="0" borderId="46" xfId="0" applyNumberFormat="1" applyFont="1" applyBorder="1" applyAlignment="1">
      <alignment horizontal="right"/>
    </xf>
    <xf numFmtId="10" fontId="3" fillId="0" borderId="8" xfId="0" applyNumberFormat="1" applyFont="1" applyBorder="1" applyAlignment="1">
      <alignment horizontal="right"/>
    </xf>
    <xf numFmtId="10" fontId="3" fillId="0" borderId="28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2" fontId="3" fillId="0" borderId="2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4" fontId="3" fillId="0" borderId="0" xfId="0" applyNumberFormat="1" applyFont="1" applyFill="1" applyBorder="1"/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10" fontId="3" fillId="0" borderId="43" xfId="0" applyNumberFormat="1" applyFont="1" applyBorder="1" applyAlignment="1">
      <alignment horizontal="right"/>
    </xf>
    <xf numFmtId="9" fontId="3" fillId="0" borderId="59" xfId="2" applyNumberFormat="1" applyFont="1" applyFill="1" applyBorder="1" applyAlignment="1">
      <alignment horizontal="right"/>
    </xf>
    <xf numFmtId="4" fontId="0" fillId="0" borderId="0" xfId="0" applyNumberFormat="1"/>
    <xf numFmtId="168" fontId="0" fillId="0" borderId="0" xfId="0" applyNumberFormat="1"/>
    <xf numFmtId="169" fontId="0" fillId="0" borderId="0" xfId="0" applyNumberFormat="1"/>
    <xf numFmtId="10" fontId="5" fillId="0" borderId="0" xfId="2" applyNumberFormat="1" applyFont="1" applyFill="1"/>
    <xf numFmtId="10" fontId="3" fillId="0" borderId="0" xfId="2" applyNumberFormat="1" applyFont="1" applyFill="1" applyBorder="1"/>
    <xf numFmtId="10" fontId="0" fillId="0" borderId="0" xfId="2" applyNumberFormat="1" applyFont="1"/>
    <xf numFmtId="10" fontId="0" fillId="0" borderId="0" xfId="2" applyNumberFormat="1" applyFont="1" applyFill="1"/>
    <xf numFmtId="3" fontId="5" fillId="0" borderId="53" xfId="0" applyNumberFormat="1" applyFont="1" applyBorder="1" applyAlignment="1">
      <alignment horizontal="right"/>
    </xf>
    <xf numFmtId="3" fontId="3" fillId="0" borderId="9" xfId="2" applyNumberFormat="1" applyFont="1" applyFill="1" applyBorder="1" applyAlignment="1">
      <alignment horizontal="right"/>
    </xf>
    <xf numFmtId="0" fontId="22" fillId="0" borderId="3" xfId="0" applyFont="1" applyFill="1" applyBorder="1"/>
    <xf numFmtId="0" fontId="23" fillId="0" borderId="0" xfId="0" applyFont="1" applyFill="1" applyBorder="1"/>
    <xf numFmtId="3" fontId="22" fillId="0" borderId="8" xfId="0" applyNumberFormat="1" applyFont="1" applyFill="1" applyBorder="1" applyAlignment="1">
      <alignment horizontal="right"/>
    </xf>
    <xf numFmtId="3" fontId="22" fillId="0" borderId="9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2" fillId="0" borderId="8" xfId="0" applyNumberFormat="1" applyFont="1" applyBorder="1" applyAlignment="1">
      <alignment horizontal="right"/>
    </xf>
    <xf numFmtId="3" fontId="22" fillId="0" borderId="54" xfId="0" applyNumberFormat="1" applyFont="1" applyBorder="1" applyAlignment="1">
      <alignment horizontal="right"/>
    </xf>
    <xf numFmtId="0" fontId="24" fillId="0" borderId="0" xfId="0" applyFont="1" applyFill="1"/>
    <xf numFmtId="0" fontId="24" fillId="0" borderId="0" xfId="0" applyFont="1"/>
    <xf numFmtId="0" fontId="22" fillId="0" borderId="0" xfId="0" applyFont="1" applyFill="1"/>
    <xf numFmtId="3" fontId="22" fillId="0" borderId="36" xfId="0" applyNumberFormat="1" applyFont="1" applyFill="1" applyBorder="1" applyAlignment="1">
      <alignment horizontal="right"/>
    </xf>
    <xf numFmtId="3" fontId="22" fillId="0" borderId="18" xfId="0" applyNumberFormat="1" applyFont="1" applyFill="1" applyBorder="1" applyAlignment="1">
      <alignment horizontal="right"/>
    </xf>
    <xf numFmtId="9" fontId="22" fillId="0" borderId="13" xfId="2" applyFont="1" applyFill="1" applyBorder="1" applyAlignment="1">
      <alignment horizontal="right"/>
    </xf>
    <xf numFmtId="0" fontId="22" fillId="0" borderId="0" xfId="0" applyFont="1" applyFill="1" applyBorder="1"/>
    <xf numFmtId="164" fontId="3" fillId="0" borderId="59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3" fontId="3" fillId="0" borderId="59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164" fontId="3" fillId="0" borderId="54" xfId="0" applyNumberFormat="1" applyFont="1" applyFill="1" applyBorder="1" applyAlignment="1">
      <alignment horizontal="right"/>
    </xf>
    <xf numFmtId="4" fontId="3" fillId="0" borderId="58" xfId="0" applyNumberFormat="1" applyFont="1" applyFill="1" applyBorder="1" applyAlignment="1">
      <alignment horizontal="right"/>
    </xf>
    <xf numFmtId="3" fontId="3" fillId="0" borderId="48" xfId="0" applyNumberFormat="1" applyFont="1" applyFill="1" applyBorder="1" applyAlignment="1">
      <alignment horizontal="right"/>
    </xf>
    <xf numFmtId="166" fontId="3" fillId="0" borderId="59" xfId="2" applyNumberFormat="1" applyFont="1" applyFill="1" applyBorder="1" applyAlignment="1">
      <alignment horizontal="right"/>
    </xf>
    <xf numFmtId="166" fontId="3" fillId="0" borderId="62" xfId="2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0" fontId="3" fillId="0" borderId="59" xfId="0" applyNumberFormat="1" applyFont="1" applyBorder="1" applyAlignment="1">
      <alignment horizontal="right"/>
    </xf>
    <xf numFmtId="4" fontId="0" fillId="0" borderId="0" xfId="0" applyNumberFormat="1" applyFill="1"/>
    <xf numFmtId="9" fontId="5" fillId="0" borderId="0" xfId="2" applyFont="1" applyFill="1" applyBorder="1" applyAlignment="1">
      <alignment horizontal="right"/>
    </xf>
    <xf numFmtId="9" fontId="0" fillId="0" borderId="0" xfId="2" applyFont="1" applyFill="1"/>
    <xf numFmtId="166" fontId="0" fillId="0" borderId="0" xfId="2" applyNumberFormat="1" applyFont="1" applyFill="1"/>
    <xf numFmtId="3" fontId="3" fillId="0" borderId="34" xfId="0" applyNumberFormat="1" applyFont="1" applyBorder="1" applyAlignment="1">
      <alignment horizontal="right"/>
    </xf>
    <xf numFmtId="9" fontId="25" fillId="0" borderId="0" xfId="2" applyFont="1" applyFill="1"/>
    <xf numFmtId="0" fontId="25" fillId="0" borderId="0" xfId="0" applyFont="1" applyFill="1"/>
    <xf numFmtId="4" fontId="3" fillId="0" borderId="54" xfId="0" applyNumberFormat="1" applyFont="1" applyFill="1" applyBorder="1" applyAlignment="1">
      <alignment horizontal="right"/>
    </xf>
    <xf numFmtId="3" fontId="3" fillId="0" borderId="56" xfId="0" applyNumberFormat="1" applyFont="1" applyFill="1" applyBorder="1" applyAlignment="1">
      <alignment horizontal="right"/>
    </xf>
    <xf numFmtId="170" fontId="5" fillId="0" borderId="9" xfId="0" applyNumberFormat="1" applyFont="1" applyFill="1" applyBorder="1" applyAlignment="1">
      <alignment horizontal="right"/>
    </xf>
    <xf numFmtId="0" fontId="3" fillId="0" borderId="0" xfId="2" applyNumberFormat="1" applyFont="1" applyFill="1" applyBorder="1" applyAlignment="1">
      <alignment horizontal="right"/>
    </xf>
    <xf numFmtId="169" fontId="5" fillId="0" borderId="9" xfId="0" applyNumberFormat="1" applyFont="1" applyFill="1" applyBorder="1" applyAlignment="1">
      <alignment horizontal="right"/>
    </xf>
    <xf numFmtId="9" fontId="3" fillId="0" borderId="62" xfId="0" applyNumberFormat="1" applyFont="1" applyBorder="1" applyAlignment="1">
      <alignment horizontal="right"/>
    </xf>
    <xf numFmtId="9" fontId="3" fillId="0" borderId="0" xfId="2" applyFont="1" applyFill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AvanzaOfficeTheme">
  <a:themeElements>
    <a:clrScheme name="Custom 3">
      <a:dk1>
        <a:srgbClr val="323232"/>
      </a:dk1>
      <a:lt1>
        <a:srgbClr val="F0F0F0"/>
      </a:lt1>
      <a:dk2>
        <a:srgbClr val="545454"/>
      </a:dk2>
      <a:lt2>
        <a:srgbClr val="F0F0F0"/>
      </a:lt2>
      <a:accent1>
        <a:srgbClr val="00C281"/>
      </a:accent1>
      <a:accent2>
        <a:srgbClr val="FD6B60"/>
      </a:accent2>
      <a:accent3>
        <a:srgbClr val="00AECE"/>
      </a:accent3>
      <a:accent4>
        <a:srgbClr val="FDD92C"/>
      </a:accent4>
      <a:accent5>
        <a:srgbClr val="01D38D"/>
      </a:accent5>
      <a:accent6>
        <a:srgbClr val="CD19C1"/>
      </a:accent6>
      <a:hlink>
        <a:srgbClr val="C07FD2"/>
      </a:hlink>
      <a:folHlink>
        <a:srgbClr val="387ED6"/>
      </a:folHlink>
    </a:clrScheme>
    <a:fontScheme name="Roboto Avanza">
      <a:majorFont>
        <a:latin typeface="Roboto Avanza Slab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W167"/>
  <sheetViews>
    <sheetView showGridLines="0" tabSelected="1" zoomScaleNormal="100" workbookViewId="0">
      <pane xSplit="2" ySplit="6" topLeftCell="BQ7" activePane="bottomRight" state="frozen"/>
      <selection pane="topRight" activeCell="C1" sqref="C1"/>
      <selection pane="bottomLeft" activeCell="A7" sqref="A7"/>
      <selection pane="bottomRight" activeCell="A162" sqref="A162"/>
    </sheetView>
  </sheetViews>
  <sheetFormatPr defaultColWidth="9.140625" defaultRowHeight="12.75" x14ac:dyDescent="0.2"/>
  <cols>
    <col min="1" max="1" width="72.140625" style="4" customWidth="1"/>
    <col min="2" max="2" width="6" style="1" hidden="1" customWidth="1"/>
    <col min="3" max="3" width="13.7109375" style="2" bestFit="1" customWidth="1"/>
    <col min="4" max="47" width="12.28515625" style="2" bestFit="1" customWidth="1"/>
    <col min="48" max="80" width="12.28515625" style="3" bestFit="1" customWidth="1"/>
    <col min="81" max="83" width="12.28515625" style="358" bestFit="1" customWidth="1"/>
    <col min="84" max="84" width="12.42578125" style="356" bestFit="1" customWidth="1"/>
    <col min="85" max="85" width="10.140625" bestFit="1" customWidth="1"/>
    <col min="86" max="86" width="8.85546875" customWidth="1"/>
    <col min="87" max="88" width="12.28515625" bestFit="1" customWidth="1"/>
    <col min="89" max="94" width="8.85546875" customWidth="1"/>
    <col min="95" max="16384" width="9.140625" style="4"/>
  </cols>
  <sheetData>
    <row r="1" spans="1:86" ht="17.25" customHeight="1" x14ac:dyDescent="0.2">
      <c r="A1" s="306" t="s">
        <v>221</v>
      </c>
    </row>
    <row r="2" spans="1:86" ht="27.75" customHeight="1" x14ac:dyDescent="0.2">
      <c r="A2" s="5" t="s">
        <v>117</v>
      </c>
      <c r="N2" s="6"/>
    </row>
    <row r="3" spans="1:86" ht="16.5" customHeight="1" x14ac:dyDescent="0.2">
      <c r="A3" s="291" t="s">
        <v>25</v>
      </c>
      <c r="B3" s="292"/>
      <c r="C3" s="293" t="s">
        <v>41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  <c r="BU3" s="294"/>
      <c r="BV3" s="294"/>
      <c r="BW3" s="294"/>
      <c r="BX3" s="294"/>
      <c r="BY3" s="294"/>
      <c r="BZ3" s="294"/>
      <c r="CA3" s="294"/>
      <c r="CB3" s="294"/>
      <c r="CC3" s="294"/>
      <c r="CD3" s="294"/>
      <c r="CE3" s="295"/>
    </row>
    <row r="4" spans="1:86" x14ac:dyDescent="0.2">
      <c r="A4" s="296" t="s">
        <v>220</v>
      </c>
      <c r="B4" s="297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  <c r="BF4" s="298"/>
      <c r="BG4" s="298"/>
      <c r="BH4" s="298"/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/>
      <c r="BT4" s="298"/>
      <c r="BU4" s="298"/>
      <c r="BV4" s="298"/>
      <c r="BW4" s="298"/>
      <c r="BX4" s="298"/>
      <c r="BY4" s="298"/>
      <c r="BZ4" s="298"/>
      <c r="CA4" s="298"/>
      <c r="CB4" s="298"/>
      <c r="CC4" s="389"/>
      <c r="CD4" s="389"/>
      <c r="CE4" s="299"/>
    </row>
    <row r="5" spans="1:86" x14ac:dyDescent="0.2">
      <c r="A5" s="300"/>
      <c r="B5" s="301" t="s">
        <v>48</v>
      </c>
      <c r="C5" s="302" t="s">
        <v>0</v>
      </c>
      <c r="D5" s="302" t="s">
        <v>1</v>
      </c>
      <c r="E5" s="302" t="s">
        <v>2</v>
      </c>
      <c r="F5" s="302" t="s">
        <v>3</v>
      </c>
      <c r="G5" s="302" t="s">
        <v>4</v>
      </c>
      <c r="H5" s="302" t="s">
        <v>5</v>
      </c>
      <c r="I5" s="302" t="s">
        <v>6</v>
      </c>
      <c r="J5" s="302" t="s">
        <v>44</v>
      </c>
      <c r="K5" s="302" t="s">
        <v>8</v>
      </c>
      <c r="L5" s="302" t="s">
        <v>9</v>
      </c>
      <c r="M5" s="302" t="s">
        <v>10</v>
      </c>
      <c r="N5" s="302" t="s">
        <v>11</v>
      </c>
      <c r="O5" s="302" t="s">
        <v>12</v>
      </c>
      <c r="P5" s="302" t="s">
        <v>13</v>
      </c>
      <c r="Q5" s="302" t="s">
        <v>14</v>
      </c>
      <c r="R5" s="302" t="s">
        <v>7</v>
      </c>
      <c r="S5" s="302" t="s">
        <v>15</v>
      </c>
      <c r="T5" s="302" t="s">
        <v>16</v>
      </c>
      <c r="U5" s="302" t="s">
        <v>17</v>
      </c>
      <c r="V5" s="302" t="s">
        <v>18</v>
      </c>
      <c r="W5" s="302" t="s">
        <v>19</v>
      </c>
      <c r="X5" s="302" t="s">
        <v>20</v>
      </c>
      <c r="Y5" s="302" t="s">
        <v>21</v>
      </c>
      <c r="Z5" s="302" t="s">
        <v>22</v>
      </c>
      <c r="AA5" s="302" t="s">
        <v>23</v>
      </c>
      <c r="AB5" s="302" t="s">
        <v>24</v>
      </c>
      <c r="AC5" s="302" t="s">
        <v>52</v>
      </c>
      <c r="AD5" s="302" t="s">
        <v>55</v>
      </c>
      <c r="AE5" s="302" t="s">
        <v>56</v>
      </c>
      <c r="AF5" s="302" t="s">
        <v>57</v>
      </c>
      <c r="AG5" s="302" t="s">
        <v>58</v>
      </c>
      <c r="AH5" s="302" t="s">
        <v>59</v>
      </c>
      <c r="AI5" s="302" t="s">
        <v>60</v>
      </c>
      <c r="AJ5" s="302" t="s">
        <v>61</v>
      </c>
      <c r="AK5" s="302" t="s">
        <v>62</v>
      </c>
      <c r="AL5" s="302" t="s">
        <v>63</v>
      </c>
      <c r="AM5" s="302" t="s">
        <v>64</v>
      </c>
      <c r="AN5" s="302" t="s">
        <v>65</v>
      </c>
      <c r="AO5" s="302" t="s">
        <v>66</v>
      </c>
      <c r="AP5" s="302" t="s">
        <v>67</v>
      </c>
      <c r="AQ5" s="302" t="s">
        <v>68</v>
      </c>
      <c r="AR5" s="302" t="s">
        <v>69</v>
      </c>
      <c r="AS5" s="302" t="s">
        <v>70</v>
      </c>
      <c r="AT5" s="302" t="s">
        <v>71</v>
      </c>
      <c r="AU5" s="302" t="s">
        <v>72</v>
      </c>
      <c r="AV5" s="302" t="s">
        <v>73</v>
      </c>
      <c r="AW5" s="302" t="s">
        <v>74</v>
      </c>
      <c r="AX5" s="302" t="s">
        <v>75</v>
      </c>
      <c r="AY5" s="302" t="s">
        <v>76</v>
      </c>
      <c r="AZ5" s="302" t="s">
        <v>77</v>
      </c>
      <c r="BA5" s="302" t="s">
        <v>78</v>
      </c>
      <c r="BB5" s="302" t="s">
        <v>79</v>
      </c>
      <c r="BC5" s="302" t="s">
        <v>80</v>
      </c>
      <c r="BD5" s="302" t="s">
        <v>84</v>
      </c>
      <c r="BE5" s="302" t="s">
        <v>85</v>
      </c>
      <c r="BF5" s="302" t="s">
        <v>86</v>
      </c>
      <c r="BG5" s="302" t="s">
        <v>87</v>
      </c>
      <c r="BH5" s="302" t="s">
        <v>97</v>
      </c>
      <c r="BI5" s="302" t="s">
        <v>111</v>
      </c>
      <c r="BJ5" s="302" t="s">
        <v>112</v>
      </c>
      <c r="BK5" s="302" t="s">
        <v>116</v>
      </c>
      <c r="BL5" s="302" t="s">
        <v>119</v>
      </c>
      <c r="BM5" s="302" t="s">
        <v>120</v>
      </c>
      <c r="BN5" s="302" t="s">
        <v>122</v>
      </c>
      <c r="BO5" s="302" t="s">
        <v>123</v>
      </c>
      <c r="BP5" s="302" t="s">
        <v>125</v>
      </c>
      <c r="BQ5" s="302" t="s">
        <v>126</v>
      </c>
      <c r="BR5" s="302" t="s">
        <v>128</v>
      </c>
      <c r="BS5" s="302" t="s">
        <v>132</v>
      </c>
      <c r="BT5" s="302" t="s">
        <v>134</v>
      </c>
      <c r="BU5" s="302" t="s">
        <v>177</v>
      </c>
      <c r="BV5" s="302" t="s">
        <v>178</v>
      </c>
      <c r="BW5" s="302" t="s">
        <v>180</v>
      </c>
      <c r="BX5" s="302" t="s">
        <v>181</v>
      </c>
      <c r="BY5" s="302" t="s">
        <v>182</v>
      </c>
      <c r="BZ5" s="302" t="s">
        <v>183</v>
      </c>
      <c r="CA5" s="302" t="s">
        <v>187</v>
      </c>
      <c r="CB5" s="302" t="s">
        <v>188</v>
      </c>
      <c r="CC5" s="302" t="s">
        <v>189</v>
      </c>
      <c r="CD5" s="302" t="s">
        <v>198</v>
      </c>
      <c r="CE5" s="333" t="s">
        <v>219</v>
      </c>
    </row>
    <row r="6" spans="1:86" x14ac:dyDescent="0.2">
      <c r="A6" s="11"/>
      <c r="B6" s="12"/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  <c r="AD6" s="18"/>
      <c r="AE6" s="18"/>
      <c r="AF6" s="18"/>
      <c r="AG6" s="18"/>
      <c r="AH6" s="19"/>
      <c r="AI6" s="18"/>
      <c r="AJ6" s="16"/>
      <c r="AK6" s="20"/>
      <c r="AL6" s="16"/>
      <c r="AM6" s="20"/>
      <c r="AN6" s="16"/>
      <c r="AO6" s="16"/>
      <c r="AP6" s="16"/>
      <c r="AQ6" s="21"/>
      <c r="AR6" s="16"/>
      <c r="AS6" s="21"/>
      <c r="AT6" s="19"/>
      <c r="AU6" s="19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9"/>
      <c r="BH6" s="19"/>
      <c r="BI6" s="17"/>
      <c r="BJ6" s="22"/>
      <c r="BK6" s="22"/>
      <c r="BL6" s="22"/>
      <c r="BM6" s="22"/>
      <c r="BN6" s="16"/>
      <c r="BO6" s="16"/>
      <c r="BP6" s="20"/>
      <c r="BQ6" s="16"/>
      <c r="BR6" s="20"/>
      <c r="BS6" s="16"/>
      <c r="BT6" s="16"/>
      <c r="BU6" s="16"/>
      <c r="BV6" s="16"/>
      <c r="BW6" s="19"/>
      <c r="BX6" s="19"/>
      <c r="BY6" s="19"/>
      <c r="BZ6" s="16"/>
      <c r="CA6" s="16"/>
      <c r="CB6" s="16"/>
      <c r="CC6" s="390"/>
      <c r="CD6" s="390"/>
      <c r="CE6" s="359"/>
    </row>
    <row r="7" spans="1:86" s="31" customFormat="1" x14ac:dyDescent="0.2">
      <c r="A7" s="303" t="s">
        <v>88</v>
      </c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8"/>
      <c r="AD7" s="28"/>
      <c r="AE7" s="28"/>
      <c r="AF7" s="28"/>
      <c r="AG7" s="28"/>
      <c r="AH7" s="28"/>
      <c r="AI7" s="28"/>
      <c r="AJ7" s="27"/>
      <c r="AK7" s="14"/>
      <c r="AL7" s="27"/>
      <c r="AM7" s="14"/>
      <c r="AN7" s="27"/>
      <c r="AO7" s="27"/>
      <c r="AP7" s="27"/>
      <c r="AQ7" s="14"/>
      <c r="AR7" s="27"/>
      <c r="AS7" s="14"/>
      <c r="AT7" s="28"/>
      <c r="AU7" s="28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8"/>
      <c r="BH7" s="28"/>
      <c r="BI7" s="27"/>
      <c r="BJ7" s="29"/>
      <c r="BK7" s="29"/>
      <c r="BL7" s="29"/>
      <c r="BM7" s="29"/>
      <c r="BN7" s="27"/>
      <c r="BO7" s="27"/>
      <c r="BP7" s="14"/>
      <c r="BQ7" s="27"/>
      <c r="BR7" s="14"/>
      <c r="BS7" s="27"/>
      <c r="BT7" s="27"/>
      <c r="BU7" s="27"/>
      <c r="BV7" s="27"/>
      <c r="BW7" s="28"/>
      <c r="BX7" s="28"/>
      <c r="BY7" s="28"/>
      <c r="BZ7" s="27"/>
      <c r="CA7" s="27"/>
      <c r="CB7" s="27"/>
      <c r="CC7" s="391"/>
      <c r="CD7" s="391"/>
      <c r="CE7" s="360"/>
      <c r="CF7" s="356"/>
      <c r="CG7"/>
      <c r="CH7"/>
    </row>
    <row r="8" spans="1:86" x14ac:dyDescent="0.2">
      <c r="A8" s="11"/>
      <c r="B8" s="1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3"/>
      <c r="AD8" s="33"/>
      <c r="AE8" s="33"/>
      <c r="AF8" s="33"/>
      <c r="AG8" s="34"/>
      <c r="AH8" s="34"/>
      <c r="AI8" s="33"/>
      <c r="AJ8" s="32"/>
      <c r="AK8" s="7"/>
      <c r="AL8" s="32"/>
      <c r="AM8" s="34"/>
      <c r="AN8" s="32"/>
      <c r="AO8" s="32"/>
      <c r="AP8" s="32"/>
      <c r="AQ8" s="35"/>
      <c r="AR8" s="32"/>
      <c r="AS8" s="7"/>
      <c r="AT8" s="33"/>
      <c r="AU8" s="33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3"/>
      <c r="BH8" s="33"/>
      <c r="BI8" s="32"/>
      <c r="BJ8" s="36"/>
      <c r="BK8" s="36"/>
      <c r="BL8" s="36"/>
      <c r="BM8" s="36"/>
      <c r="BN8" s="32"/>
      <c r="BO8" s="32"/>
      <c r="BP8" s="7"/>
      <c r="BQ8" s="32"/>
      <c r="BR8" s="7"/>
      <c r="BS8" s="32"/>
      <c r="BT8" s="32"/>
      <c r="BU8" s="32"/>
      <c r="BV8" s="32"/>
      <c r="BW8" s="33"/>
      <c r="BX8" s="33"/>
      <c r="BY8" s="33"/>
      <c r="BZ8" s="32"/>
      <c r="CA8" s="32"/>
      <c r="CB8" s="32"/>
      <c r="CC8" s="392"/>
      <c r="CD8" s="392"/>
      <c r="CE8" s="361"/>
    </row>
    <row r="9" spans="1:86" x14ac:dyDescent="0.2">
      <c r="A9" s="39" t="s">
        <v>26</v>
      </c>
      <c r="B9" s="40"/>
      <c r="C9" s="41">
        <v>15.9</v>
      </c>
      <c r="D9" s="41">
        <v>10.6</v>
      </c>
      <c r="E9" s="41">
        <v>9.3000000000000007</v>
      </c>
      <c r="F9" s="41">
        <v>26.2</v>
      </c>
      <c r="G9" s="41">
        <v>20.100000000000001</v>
      </c>
      <c r="H9" s="41">
        <v>14</v>
      </c>
      <c r="I9" s="41">
        <v>17.600000000000001</v>
      </c>
      <c r="J9" s="41">
        <v>28.1</v>
      </c>
      <c r="K9" s="41">
        <v>18.7</v>
      </c>
      <c r="L9" s="41">
        <v>19.899999999999999</v>
      </c>
      <c r="M9" s="41">
        <v>30</v>
      </c>
      <c r="N9" s="41">
        <v>32.4</v>
      </c>
      <c r="O9" s="41">
        <v>52.7</v>
      </c>
      <c r="P9" s="41">
        <v>31.1</v>
      </c>
      <c r="Q9" s="41">
        <v>24.1</v>
      </c>
      <c r="R9" s="41">
        <v>33</v>
      </c>
      <c r="S9" s="41">
        <v>36.9</v>
      </c>
      <c r="T9" s="41">
        <v>39.799999999999997</v>
      </c>
      <c r="U9" s="41">
        <v>47.8</v>
      </c>
      <c r="V9" s="41">
        <v>53.2</v>
      </c>
      <c r="W9" s="41">
        <v>79.7</v>
      </c>
      <c r="X9" s="41">
        <v>76.599999999999994</v>
      </c>
      <c r="Y9" s="41">
        <v>52.3</v>
      </c>
      <c r="Z9" s="41">
        <v>70.900000000000006</v>
      </c>
      <c r="AA9" s="41">
        <v>84.5</v>
      </c>
      <c r="AB9" s="41">
        <v>67.8</v>
      </c>
      <c r="AC9" s="42">
        <v>72.552000000000007</v>
      </c>
      <c r="AD9" s="42">
        <v>79</v>
      </c>
      <c r="AE9" s="42">
        <v>77.5</v>
      </c>
      <c r="AF9" s="42">
        <v>60.4</v>
      </c>
      <c r="AG9" s="42">
        <v>63.1</v>
      </c>
      <c r="AH9" s="42">
        <v>75</v>
      </c>
      <c r="AI9" s="42">
        <v>69.489000000000004</v>
      </c>
      <c r="AJ9" s="41">
        <v>94</v>
      </c>
      <c r="AK9" s="43">
        <v>86</v>
      </c>
      <c r="AL9" s="41">
        <v>93.2</v>
      </c>
      <c r="AM9" s="42">
        <v>97</v>
      </c>
      <c r="AN9" s="41">
        <v>99</v>
      </c>
      <c r="AO9" s="41">
        <v>80</v>
      </c>
      <c r="AP9" s="41">
        <v>96.1</v>
      </c>
      <c r="AQ9" s="41">
        <v>98.1</v>
      </c>
      <c r="AR9" s="41">
        <v>75</v>
      </c>
      <c r="AS9" s="43">
        <v>100</v>
      </c>
      <c r="AT9" s="42">
        <v>79</v>
      </c>
      <c r="AU9" s="42">
        <v>81</v>
      </c>
      <c r="AV9" s="41">
        <v>64</v>
      </c>
      <c r="AW9" s="41">
        <v>57</v>
      </c>
      <c r="AX9" s="41">
        <v>56</v>
      </c>
      <c r="AY9" s="41">
        <v>75</v>
      </c>
      <c r="AZ9" s="41">
        <v>61</v>
      </c>
      <c r="BA9" s="41">
        <v>75</v>
      </c>
      <c r="BB9" s="41">
        <v>79</v>
      </c>
      <c r="BC9" s="41">
        <v>89.7</v>
      </c>
      <c r="BD9" s="41">
        <v>70.900000000000006</v>
      </c>
      <c r="BE9" s="41">
        <v>77.599999999999994</v>
      </c>
      <c r="BF9" s="41">
        <v>94.3</v>
      </c>
      <c r="BG9" s="42">
        <v>128</v>
      </c>
      <c r="BH9" s="42">
        <v>124</v>
      </c>
      <c r="BI9" s="41">
        <v>130.6</v>
      </c>
      <c r="BJ9" s="44">
        <v>167.3</v>
      </c>
      <c r="BK9" s="44">
        <v>146.1</v>
      </c>
      <c r="BL9" s="44">
        <v>126.5</v>
      </c>
      <c r="BM9" s="44">
        <v>130.80000000000001</v>
      </c>
      <c r="BN9" s="41">
        <v>139.4</v>
      </c>
      <c r="BO9" s="41">
        <v>139.80000000000001</v>
      </c>
      <c r="BP9" s="43">
        <v>118.46</v>
      </c>
      <c r="BQ9" s="41">
        <v>125.64</v>
      </c>
      <c r="BR9" s="43">
        <v>144.21199999999999</v>
      </c>
      <c r="BS9" s="41">
        <v>143.54900000000001</v>
      </c>
      <c r="BT9" s="41">
        <v>112.039</v>
      </c>
      <c r="BU9" s="41">
        <v>132.32</v>
      </c>
      <c r="BV9" s="41">
        <v>132.44451273999999</v>
      </c>
      <c r="BW9" s="42">
        <v>133.83386989999991</v>
      </c>
      <c r="BX9" s="42">
        <v>126.21776198000001</v>
      </c>
      <c r="BY9" s="42">
        <v>150.08864187</v>
      </c>
      <c r="BZ9" s="41">
        <v>146.06296796999999</v>
      </c>
      <c r="CA9" s="41">
        <v>305.82469223000044</v>
      </c>
      <c r="CB9" s="41">
        <v>299.27135867999868</v>
      </c>
      <c r="CC9" s="393">
        <v>327.35369188999999</v>
      </c>
      <c r="CD9" s="393">
        <v>339.17945001999999</v>
      </c>
      <c r="CE9" s="362">
        <v>515.29590185999996</v>
      </c>
    </row>
    <row r="10" spans="1:86" x14ac:dyDescent="0.2">
      <c r="A10" s="47" t="s">
        <v>29</v>
      </c>
      <c r="B10" s="48"/>
      <c r="C10" s="49">
        <v>-2.8</v>
      </c>
      <c r="D10" s="49">
        <v>-2.2000000000000002</v>
      </c>
      <c r="E10" s="49">
        <v>-1.7</v>
      </c>
      <c r="F10" s="49">
        <v>-3.5</v>
      </c>
      <c r="G10" s="49">
        <v>-2.6</v>
      </c>
      <c r="H10" s="49">
        <v>-1.8</v>
      </c>
      <c r="I10" s="49">
        <v>-2.5</v>
      </c>
      <c r="J10" s="49">
        <v>-3.1</v>
      </c>
      <c r="K10" s="49">
        <v>-2.2000000000000002</v>
      </c>
      <c r="L10" s="49">
        <v>-2.4</v>
      </c>
      <c r="M10" s="49">
        <v>-3.5</v>
      </c>
      <c r="N10" s="49">
        <v>-3.9</v>
      </c>
      <c r="O10" s="49">
        <v>-6.2</v>
      </c>
      <c r="P10" s="49">
        <v>-4.3</v>
      </c>
      <c r="Q10" s="49">
        <v>-3.4</v>
      </c>
      <c r="R10" s="49">
        <v>-3.9</v>
      </c>
      <c r="S10" s="49">
        <v>-4.5999999999999996</v>
      </c>
      <c r="T10" s="49">
        <v>-5.2</v>
      </c>
      <c r="U10" s="49">
        <v>-6.3</v>
      </c>
      <c r="V10" s="49">
        <v>-7.4</v>
      </c>
      <c r="W10" s="49">
        <v>-9.5</v>
      </c>
      <c r="X10" s="49">
        <v>-9.6</v>
      </c>
      <c r="Y10" s="49">
        <v>-8.8000000000000007</v>
      </c>
      <c r="Z10" s="49">
        <v>-11.9</v>
      </c>
      <c r="AA10" s="49">
        <v>-13.2</v>
      </c>
      <c r="AB10" s="49">
        <v>-11</v>
      </c>
      <c r="AC10" s="50">
        <v>-12.037000000000001</v>
      </c>
      <c r="AD10" s="50">
        <v>-12</v>
      </c>
      <c r="AE10" s="50">
        <v>-13.49</v>
      </c>
      <c r="AF10" s="50">
        <v>-10.48</v>
      </c>
      <c r="AG10" s="50">
        <v>-9.6999999999999993</v>
      </c>
      <c r="AH10" s="50">
        <v>-13</v>
      </c>
      <c r="AI10" s="50">
        <v>-11.12</v>
      </c>
      <c r="AJ10" s="49">
        <v>-12</v>
      </c>
      <c r="AK10" s="51">
        <v>-9</v>
      </c>
      <c r="AL10" s="49">
        <v>-10.7</v>
      </c>
      <c r="AM10" s="50">
        <v>-10</v>
      </c>
      <c r="AN10" s="49">
        <v>-12</v>
      </c>
      <c r="AO10" s="49">
        <v>-10</v>
      </c>
      <c r="AP10" s="49">
        <v>-11.2</v>
      </c>
      <c r="AQ10" s="49">
        <v>-10.6</v>
      </c>
      <c r="AR10" s="49">
        <v>-11</v>
      </c>
      <c r="AS10" s="51">
        <v>-13</v>
      </c>
      <c r="AT10" s="50">
        <v>-12</v>
      </c>
      <c r="AU10" s="50">
        <v>-11</v>
      </c>
      <c r="AV10" s="49">
        <v>-11</v>
      </c>
      <c r="AW10" s="49">
        <v>-10</v>
      </c>
      <c r="AX10" s="49">
        <v>-10</v>
      </c>
      <c r="AY10" s="49">
        <v>-11</v>
      </c>
      <c r="AZ10" s="49">
        <v>-10</v>
      </c>
      <c r="BA10" s="49">
        <v>-12</v>
      </c>
      <c r="BB10" s="49">
        <v>-12</v>
      </c>
      <c r="BC10" s="49">
        <v>-12.3</v>
      </c>
      <c r="BD10" s="49">
        <v>-10.1</v>
      </c>
      <c r="BE10" s="49">
        <v>-11</v>
      </c>
      <c r="BF10" s="49">
        <v>-13.4</v>
      </c>
      <c r="BG10" s="50">
        <v>-15</v>
      </c>
      <c r="BH10" s="50">
        <v>-16</v>
      </c>
      <c r="BI10" s="49">
        <v>-18.100000000000001</v>
      </c>
      <c r="BJ10" s="52">
        <v>-21.6</v>
      </c>
      <c r="BK10" s="52">
        <v>-20.9</v>
      </c>
      <c r="BL10" s="52">
        <v>-16.899999999999999</v>
      </c>
      <c r="BM10" s="52">
        <v>-17.8</v>
      </c>
      <c r="BN10" s="49">
        <v>-17.8</v>
      </c>
      <c r="BO10" s="49">
        <v>-18.100000000000001</v>
      </c>
      <c r="BP10" s="51">
        <v>-18.2</v>
      </c>
      <c r="BQ10" s="49">
        <v>-19.97</v>
      </c>
      <c r="BR10" s="51">
        <v>-22.373999999999999</v>
      </c>
      <c r="BS10" s="49">
        <v>-21.917000000000002</v>
      </c>
      <c r="BT10" s="49">
        <v>-20.448</v>
      </c>
      <c r="BU10" s="49">
        <v>-21.335000000000001</v>
      </c>
      <c r="BV10" s="49">
        <v>-21.399820720000001</v>
      </c>
      <c r="BW10" s="50">
        <v>-21.526510200000001</v>
      </c>
      <c r="BX10" s="50">
        <v>-21.38122937</v>
      </c>
      <c r="BY10" s="50">
        <v>-24.401146069999999</v>
      </c>
      <c r="BZ10" s="49">
        <v>-23.01624962</v>
      </c>
      <c r="CA10" s="49">
        <v>-37.972476911072008</v>
      </c>
      <c r="CB10" s="49">
        <v>-39.206426276608006</v>
      </c>
      <c r="CC10" s="394">
        <v>-44.653204286608002</v>
      </c>
      <c r="CD10" s="394">
        <v>-47.753498075712002</v>
      </c>
      <c r="CE10" s="363">
        <v>-76.642578404436009</v>
      </c>
    </row>
    <row r="11" spans="1:86" s="31" customFormat="1" x14ac:dyDescent="0.2">
      <c r="A11" s="54" t="s">
        <v>30</v>
      </c>
      <c r="B11" s="55"/>
      <c r="C11" s="56">
        <f t="shared" ref="C11:AH11" si="0">SUM(C9:C10)</f>
        <v>13.100000000000001</v>
      </c>
      <c r="D11" s="56">
        <f t="shared" si="0"/>
        <v>8.3999999999999986</v>
      </c>
      <c r="E11" s="56">
        <f t="shared" si="0"/>
        <v>7.6000000000000005</v>
      </c>
      <c r="F11" s="56">
        <f t="shared" si="0"/>
        <v>22.7</v>
      </c>
      <c r="G11" s="56">
        <f t="shared" si="0"/>
        <v>17.5</v>
      </c>
      <c r="H11" s="56">
        <f t="shared" si="0"/>
        <v>12.2</v>
      </c>
      <c r="I11" s="56">
        <f t="shared" si="0"/>
        <v>15.100000000000001</v>
      </c>
      <c r="J11" s="56">
        <f t="shared" si="0"/>
        <v>25</v>
      </c>
      <c r="K11" s="56">
        <f t="shared" si="0"/>
        <v>16.5</v>
      </c>
      <c r="L11" s="56">
        <f t="shared" si="0"/>
        <v>17.5</v>
      </c>
      <c r="M11" s="56">
        <f t="shared" si="0"/>
        <v>26.5</v>
      </c>
      <c r="N11" s="56">
        <f t="shared" si="0"/>
        <v>28.5</v>
      </c>
      <c r="O11" s="56">
        <f t="shared" si="0"/>
        <v>46.5</v>
      </c>
      <c r="P11" s="56">
        <f t="shared" si="0"/>
        <v>26.8</v>
      </c>
      <c r="Q11" s="56">
        <f t="shared" si="0"/>
        <v>20.700000000000003</v>
      </c>
      <c r="R11" s="56">
        <f t="shared" si="0"/>
        <v>29.1</v>
      </c>
      <c r="S11" s="56">
        <f t="shared" si="0"/>
        <v>32.299999999999997</v>
      </c>
      <c r="T11" s="56">
        <f t="shared" si="0"/>
        <v>34.599999999999994</v>
      </c>
      <c r="U11" s="56">
        <f t="shared" si="0"/>
        <v>41.5</v>
      </c>
      <c r="V11" s="56">
        <f t="shared" si="0"/>
        <v>45.800000000000004</v>
      </c>
      <c r="W11" s="56">
        <f t="shared" si="0"/>
        <v>70.2</v>
      </c>
      <c r="X11" s="56">
        <f t="shared" si="0"/>
        <v>67</v>
      </c>
      <c r="Y11" s="56">
        <f t="shared" si="0"/>
        <v>43.5</v>
      </c>
      <c r="Z11" s="56">
        <f t="shared" si="0"/>
        <v>59.000000000000007</v>
      </c>
      <c r="AA11" s="56">
        <f t="shared" si="0"/>
        <v>71.3</v>
      </c>
      <c r="AB11" s="56">
        <f t="shared" si="0"/>
        <v>56.8</v>
      </c>
      <c r="AC11" s="57">
        <f t="shared" si="0"/>
        <v>60.515000000000008</v>
      </c>
      <c r="AD11" s="58">
        <f t="shared" si="0"/>
        <v>67</v>
      </c>
      <c r="AE11" s="58">
        <f t="shared" si="0"/>
        <v>64.010000000000005</v>
      </c>
      <c r="AF11" s="58">
        <f t="shared" si="0"/>
        <v>49.92</v>
      </c>
      <c r="AG11" s="58">
        <f t="shared" si="0"/>
        <v>53.400000000000006</v>
      </c>
      <c r="AH11" s="58">
        <f t="shared" si="0"/>
        <v>62</v>
      </c>
      <c r="AI11" s="58">
        <f t="shared" ref="AI11:BF11" si="1">SUM(AI9:AI10)</f>
        <v>58.369000000000007</v>
      </c>
      <c r="AJ11" s="56">
        <f t="shared" si="1"/>
        <v>82</v>
      </c>
      <c r="AK11" s="58">
        <f t="shared" si="1"/>
        <v>77</v>
      </c>
      <c r="AL11" s="56">
        <f t="shared" si="1"/>
        <v>82.5</v>
      </c>
      <c r="AM11" s="58">
        <f t="shared" si="1"/>
        <v>87</v>
      </c>
      <c r="AN11" s="56">
        <f t="shared" si="1"/>
        <v>87</v>
      </c>
      <c r="AO11" s="56">
        <f t="shared" si="1"/>
        <v>70</v>
      </c>
      <c r="AP11" s="56">
        <f t="shared" si="1"/>
        <v>84.899999999999991</v>
      </c>
      <c r="AQ11" s="56">
        <f t="shared" si="1"/>
        <v>87.5</v>
      </c>
      <c r="AR11" s="56">
        <f t="shared" si="1"/>
        <v>64</v>
      </c>
      <c r="AS11" s="57">
        <f t="shared" si="1"/>
        <v>87</v>
      </c>
      <c r="AT11" s="58">
        <f t="shared" si="1"/>
        <v>67</v>
      </c>
      <c r="AU11" s="58">
        <f t="shared" si="1"/>
        <v>70</v>
      </c>
      <c r="AV11" s="56">
        <f t="shared" si="1"/>
        <v>53</v>
      </c>
      <c r="AW11" s="56">
        <f t="shared" si="1"/>
        <v>47</v>
      </c>
      <c r="AX11" s="56">
        <f t="shared" si="1"/>
        <v>46</v>
      </c>
      <c r="AY11" s="56">
        <f t="shared" si="1"/>
        <v>64</v>
      </c>
      <c r="AZ11" s="56">
        <f t="shared" si="1"/>
        <v>51</v>
      </c>
      <c r="BA11" s="56">
        <f t="shared" si="1"/>
        <v>63</v>
      </c>
      <c r="BB11" s="56">
        <f t="shared" si="1"/>
        <v>67</v>
      </c>
      <c r="BC11" s="56">
        <f t="shared" si="1"/>
        <v>77.400000000000006</v>
      </c>
      <c r="BD11" s="56">
        <f t="shared" si="1"/>
        <v>60.800000000000004</v>
      </c>
      <c r="BE11" s="56">
        <f t="shared" si="1"/>
        <v>66.599999999999994</v>
      </c>
      <c r="BF11" s="56">
        <f t="shared" si="1"/>
        <v>80.899999999999991</v>
      </c>
      <c r="BG11" s="56">
        <v>113</v>
      </c>
      <c r="BH11" s="59">
        <f t="shared" ref="BH11:BT11" si="2">SUM(BH9:BH10)</f>
        <v>108</v>
      </c>
      <c r="BI11" s="57">
        <f t="shared" si="2"/>
        <v>112.5</v>
      </c>
      <c r="BJ11" s="56">
        <f t="shared" si="2"/>
        <v>145.70000000000002</v>
      </c>
      <c r="BK11" s="56">
        <f t="shared" si="2"/>
        <v>125.19999999999999</v>
      </c>
      <c r="BL11" s="56">
        <f t="shared" si="2"/>
        <v>109.6</v>
      </c>
      <c r="BM11" s="56">
        <f t="shared" si="2"/>
        <v>113.00000000000001</v>
      </c>
      <c r="BN11" s="56">
        <f t="shared" si="2"/>
        <v>121.60000000000001</v>
      </c>
      <c r="BO11" s="56">
        <f t="shared" si="2"/>
        <v>121.70000000000002</v>
      </c>
      <c r="BP11" s="57">
        <f t="shared" si="2"/>
        <v>100.25999999999999</v>
      </c>
      <c r="BQ11" s="56">
        <f t="shared" si="2"/>
        <v>105.67</v>
      </c>
      <c r="BR11" s="56">
        <f t="shared" si="2"/>
        <v>121.83799999999999</v>
      </c>
      <c r="BS11" s="56">
        <f t="shared" si="2"/>
        <v>121.63200000000001</v>
      </c>
      <c r="BT11" s="56">
        <f t="shared" si="2"/>
        <v>91.591000000000008</v>
      </c>
      <c r="BU11" s="56">
        <f t="shared" ref="BU11:BZ11" si="3">SUM(BU9:BU10)</f>
        <v>110.98499999999999</v>
      </c>
      <c r="BV11" s="56">
        <f t="shared" si="3"/>
        <v>111.04469201999999</v>
      </c>
      <c r="BW11" s="58">
        <f t="shared" si="3"/>
        <v>112.30735969999991</v>
      </c>
      <c r="BX11" s="58">
        <f t="shared" si="3"/>
        <v>104.83653261000001</v>
      </c>
      <c r="BY11" s="58">
        <f t="shared" si="3"/>
        <v>125.68749580000001</v>
      </c>
      <c r="BZ11" s="56">
        <f t="shared" si="3"/>
        <v>123.04671834999999</v>
      </c>
      <c r="CA11" s="56">
        <f>SUM(CA9:CA10)</f>
        <v>267.85221531892842</v>
      </c>
      <c r="CB11" s="56">
        <f>SUM(CB9:CB10)</f>
        <v>260.06493240339069</v>
      </c>
      <c r="CC11" s="395">
        <f>SUM(CC9:CC10)</f>
        <v>282.70048760339199</v>
      </c>
      <c r="CD11" s="395">
        <f>SUM(CD9:CD10)</f>
        <v>291.42595194428799</v>
      </c>
      <c r="CE11" s="364">
        <f>SUM(CE9:CE10)</f>
        <v>438.65332345556396</v>
      </c>
      <c r="CF11" s="356"/>
      <c r="CG11"/>
      <c r="CH11"/>
    </row>
    <row r="12" spans="1:86" s="31" customFormat="1" x14ac:dyDescent="0.2">
      <c r="A12" s="54" t="s">
        <v>222</v>
      </c>
      <c r="B12" s="55"/>
      <c r="C12" s="56">
        <v>0</v>
      </c>
      <c r="D12" s="56">
        <v>0</v>
      </c>
      <c r="E12" s="56">
        <v>0.4</v>
      </c>
      <c r="F12" s="56">
        <v>0.4</v>
      </c>
      <c r="G12" s="56">
        <v>0.4</v>
      </c>
      <c r="H12" s="56">
        <v>0.7</v>
      </c>
      <c r="I12" s="56">
        <v>0.5</v>
      </c>
      <c r="J12" s="56">
        <v>0.4</v>
      </c>
      <c r="K12" s="56">
        <v>0.3</v>
      </c>
      <c r="L12" s="56">
        <v>0.4</v>
      </c>
      <c r="M12" s="56">
        <v>0.6</v>
      </c>
      <c r="N12" s="56">
        <v>0.6</v>
      </c>
      <c r="O12" s="56">
        <v>1.1000000000000001</v>
      </c>
      <c r="P12" s="56">
        <v>2</v>
      </c>
      <c r="Q12" s="56">
        <v>1.5</v>
      </c>
      <c r="R12" s="56">
        <v>2.7</v>
      </c>
      <c r="S12" s="56">
        <v>7.6</v>
      </c>
      <c r="T12" s="56">
        <v>5.0999999999999996</v>
      </c>
      <c r="U12" s="56">
        <v>8.1</v>
      </c>
      <c r="V12" s="56">
        <v>12.3</v>
      </c>
      <c r="W12" s="56">
        <v>17.7</v>
      </c>
      <c r="X12" s="56">
        <v>12.5</v>
      </c>
      <c r="Y12" s="56">
        <v>5.9</v>
      </c>
      <c r="Z12" s="56">
        <v>8.6</v>
      </c>
      <c r="AA12" s="56">
        <v>13.1</v>
      </c>
      <c r="AB12" s="56">
        <v>17.2</v>
      </c>
      <c r="AC12" s="58">
        <v>19.355</v>
      </c>
      <c r="AD12" s="58">
        <v>19</v>
      </c>
      <c r="AE12" s="58">
        <v>12.1</v>
      </c>
      <c r="AF12" s="58">
        <v>14.1</v>
      </c>
      <c r="AG12" s="58">
        <v>8</v>
      </c>
      <c r="AH12" s="58">
        <v>7</v>
      </c>
      <c r="AI12" s="58">
        <v>7.1429999999999998</v>
      </c>
      <c r="AJ12" s="56">
        <v>11</v>
      </c>
      <c r="AK12" s="57">
        <v>13</v>
      </c>
      <c r="AL12" s="56">
        <v>17</v>
      </c>
      <c r="AM12" s="58">
        <v>20</v>
      </c>
      <c r="AN12" s="56">
        <v>22</v>
      </c>
      <c r="AO12" s="56">
        <v>18</v>
      </c>
      <c r="AP12" s="56">
        <v>21</v>
      </c>
      <c r="AQ12" s="56">
        <v>21</v>
      </c>
      <c r="AR12" s="56">
        <v>19</v>
      </c>
      <c r="AS12" s="57">
        <v>16</v>
      </c>
      <c r="AT12" s="58">
        <v>14</v>
      </c>
      <c r="AU12" s="58">
        <v>17</v>
      </c>
      <c r="AV12" s="56">
        <v>15</v>
      </c>
      <c r="AW12" s="56">
        <v>16</v>
      </c>
      <c r="AX12" s="56">
        <v>17</v>
      </c>
      <c r="AY12" s="56">
        <v>19</v>
      </c>
      <c r="AZ12" s="56">
        <v>20</v>
      </c>
      <c r="BA12" s="56">
        <v>22</v>
      </c>
      <c r="BB12" s="56">
        <v>22</v>
      </c>
      <c r="BC12" s="56">
        <v>24.5</v>
      </c>
      <c r="BD12" s="56">
        <v>27</v>
      </c>
      <c r="BE12" s="56">
        <v>30.9</v>
      </c>
      <c r="BF12" s="56">
        <v>31.3</v>
      </c>
      <c r="BG12" s="56">
        <v>40</v>
      </c>
      <c r="BH12" s="56">
        <v>44</v>
      </c>
      <c r="BI12" s="57">
        <v>37.799999999999997</v>
      </c>
      <c r="BJ12" s="56">
        <v>38.4</v>
      </c>
      <c r="BK12" s="56">
        <v>37</v>
      </c>
      <c r="BL12" s="56">
        <v>38.200000000000003</v>
      </c>
      <c r="BM12" s="56">
        <v>44.445999999999998</v>
      </c>
      <c r="BN12" s="56">
        <v>47.9</v>
      </c>
      <c r="BO12" s="56">
        <v>52.5</v>
      </c>
      <c r="BP12" s="57">
        <v>61</v>
      </c>
      <c r="BQ12" s="56">
        <v>61.76</v>
      </c>
      <c r="BR12" s="57">
        <v>64.39</v>
      </c>
      <c r="BS12" s="56">
        <v>72.066000000000003</v>
      </c>
      <c r="BT12" s="56">
        <v>74.429000000000002</v>
      </c>
      <c r="BU12" s="56">
        <v>80.760999999999996</v>
      </c>
      <c r="BV12" s="56">
        <v>73.662072210000005</v>
      </c>
      <c r="BW12" s="58">
        <v>71.698814510000005</v>
      </c>
      <c r="BX12" s="58">
        <v>82.616866770000001</v>
      </c>
      <c r="BY12" s="58">
        <v>86.310563090000002</v>
      </c>
      <c r="BZ12" s="56">
        <v>91.336806440000004</v>
      </c>
      <c r="CA12" s="56">
        <v>96.299049139999994</v>
      </c>
      <c r="CB12" s="56">
        <v>88.080370680000016</v>
      </c>
      <c r="CC12" s="395">
        <v>108.96144069</v>
      </c>
      <c r="CD12" s="395">
        <v>124.63542631</v>
      </c>
      <c r="CE12" s="454">
        <v>150.2406344100001</v>
      </c>
      <c r="CF12" s="468"/>
      <c r="CG12"/>
      <c r="CH12"/>
    </row>
    <row r="13" spans="1:86" x14ac:dyDescent="0.2">
      <c r="A13" s="47" t="s">
        <v>223</v>
      </c>
      <c r="B13" s="48"/>
      <c r="C13" s="49" t="s">
        <v>37</v>
      </c>
      <c r="D13" s="49" t="s">
        <v>37</v>
      </c>
      <c r="E13" s="49" t="s">
        <v>37</v>
      </c>
      <c r="F13" s="49" t="s">
        <v>37</v>
      </c>
      <c r="G13" s="49" t="s">
        <v>37</v>
      </c>
      <c r="H13" s="49" t="s">
        <v>37</v>
      </c>
      <c r="I13" s="49" t="s">
        <v>37</v>
      </c>
      <c r="J13" s="49" t="s">
        <v>37</v>
      </c>
      <c r="K13" s="49" t="s">
        <v>37</v>
      </c>
      <c r="L13" s="49" t="s">
        <v>37</v>
      </c>
      <c r="M13" s="49" t="s">
        <v>37</v>
      </c>
      <c r="N13" s="49" t="s">
        <v>37</v>
      </c>
      <c r="O13" s="49" t="s">
        <v>37</v>
      </c>
      <c r="P13" s="49" t="s">
        <v>37</v>
      </c>
      <c r="Q13" s="49" t="s">
        <v>37</v>
      </c>
      <c r="R13" s="49" t="s">
        <v>37</v>
      </c>
      <c r="S13" s="49" t="s">
        <v>37</v>
      </c>
      <c r="T13" s="49" t="s">
        <v>37</v>
      </c>
      <c r="U13" s="49" t="s">
        <v>37</v>
      </c>
      <c r="V13" s="49" t="s">
        <v>37</v>
      </c>
      <c r="W13" s="49" t="s">
        <v>37</v>
      </c>
      <c r="X13" s="49" t="s">
        <v>37</v>
      </c>
      <c r="Y13" s="49" t="s">
        <v>37</v>
      </c>
      <c r="Z13" s="49" t="s">
        <v>37</v>
      </c>
      <c r="AA13" s="49" t="s">
        <v>37</v>
      </c>
      <c r="AB13" s="49" t="s">
        <v>37</v>
      </c>
      <c r="AC13" s="49" t="s">
        <v>37</v>
      </c>
      <c r="AD13" s="49" t="s">
        <v>37</v>
      </c>
      <c r="AE13" s="49" t="s">
        <v>37</v>
      </c>
      <c r="AF13" s="49" t="s">
        <v>37</v>
      </c>
      <c r="AG13" s="49" t="s">
        <v>37</v>
      </c>
      <c r="AH13" s="49" t="s">
        <v>37</v>
      </c>
      <c r="AI13" s="49" t="s">
        <v>37</v>
      </c>
      <c r="AJ13" s="49" t="s">
        <v>37</v>
      </c>
      <c r="AK13" s="49" t="s">
        <v>37</v>
      </c>
      <c r="AL13" s="49" t="s">
        <v>37</v>
      </c>
      <c r="AM13" s="49" t="s">
        <v>37</v>
      </c>
      <c r="AN13" s="49" t="s">
        <v>37</v>
      </c>
      <c r="AO13" s="49" t="s">
        <v>37</v>
      </c>
      <c r="AP13" s="49" t="s">
        <v>37</v>
      </c>
      <c r="AQ13" s="49" t="s">
        <v>37</v>
      </c>
      <c r="AR13" s="49" t="s">
        <v>37</v>
      </c>
      <c r="AS13" s="49" t="s">
        <v>37</v>
      </c>
      <c r="AT13" s="49" t="s">
        <v>37</v>
      </c>
      <c r="AU13" s="49" t="s">
        <v>37</v>
      </c>
      <c r="AV13" s="49" t="s">
        <v>37</v>
      </c>
      <c r="AW13" s="49" t="s">
        <v>37</v>
      </c>
      <c r="AX13" s="49" t="s">
        <v>37</v>
      </c>
      <c r="AY13" s="49" t="s">
        <v>37</v>
      </c>
      <c r="AZ13" s="49" t="s">
        <v>37</v>
      </c>
      <c r="BA13" s="49" t="s">
        <v>37</v>
      </c>
      <c r="BB13" s="49" t="s">
        <v>37</v>
      </c>
      <c r="BC13" s="49" t="s">
        <v>37</v>
      </c>
      <c r="BD13" s="49" t="s">
        <v>37</v>
      </c>
      <c r="BE13" s="49" t="s">
        <v>37</v>
      </c>
      <c r="BF13" s="49" t="s">
        <v>37</v>
      </c>
      <c r="BG13" s="49" t="s">
        <v>37</v>
      </c>
      <c r="BH13" s="49" t="s">
        <v>37</v>
      </c>
      <c r="BI13" s="49" t="s">
        <v>37</v>
      </c>
      <c r="BJ13" s="49" t="s">
        <v>37</v>
      </c>
      <c r="BK13" s="49">
        <v>15.29</v>
      </c>
      <c r="BL13" s="49">
        <v>17.52</v>
      </c>
      <c r="BM13" s="49">
        <v>23.21</v>
      </c>
      <c r="BN13" s="49">
        <v>24.56</v>
      </c>
      <c r="BO13" s="49">
        <v>25.4</v>
      </c>
      <c r="BP13" s="51">
        <v>23.99</v>
      </c>
      <c r="BQ13" s="49">
        <v>19.149999999999999</v>
      </c>
      <c r="BR13" s="51">
        <v>31.22</v>
      </c>
      <c r="BS13" s="49">
        <v>33.29</v>
      </c>
      <c r="BT13" s="49">
        <v>29.65</v>
      </c>
      <c r="BU13" s="49">
        <v>32.268000000000001</v>
      </c>
      <c r="BV13" s="49">
        <v>31.470133319999999</v>
      </c>
      <c r="BW13" s="50">
        <v>31.567262279999998</v>
      </c>
      <c r="BX13" s="50">
        <v>29.317766330000001</v>
      </c>
      <c r="BY13" s="50">
        <v>32.909923709999994</v>
      </c>
      <c r="BZ13" s="49">
        <v>30.84022161</v>
      </c>
      <c r="CA13" s="49">
        <v>72.656789439999997</v>
      </c>
      <c r="CB13" s="49">
        <v>80.547816160000011</v>
      </c>
      <c r="CC13" s="394">
        <v>87.975921750000026</v>
      </c>
      <c r="CD13" s="394">
        <v>114.01333226</v>
      </c>
      <c r="CE13" s="453">
        <v>247.28586344000001</v>
      </c>
      <c r="CF13" s="469"/>
    </row>
    <row r="14" spans="1:86" x14ac:dyDescent="0.2">
      <c r="A14" s="47" t="s">
        <v>138</v>
      </c>
      <c r="B14" s="48"/>
      <c r="C14" s="49" t="s">
        <v>37</v>
      </c>
      <c r="D14" s="49" t="s">
        <v>37</v>
      </c>
      <c r="E14" s="49" t="s">
        <v>37</v>
      </c>
      <c r="F14" s="49" t="s">
        <v>37</v>
      </c>
      <c r="G14" s="49" t="s">
        <v>37</v>
      </c>
      <c r="H14" s="49" t="s">
        <v>37</v>
      </c>
      <c r="I14" s="49" t="s">
        <v>37</v>
      </c>
      <c r="J14" s="49" t="s">
        <v>37</v>
      </c>
      <c r="K14" s="49" t="s">
        <v>37</v>
      </c>
      <c r="L14" s="49" t="s">
        <v>37</v>
      </c>
      <c r="M14" s="49" t="s">
        <v>37</v>
      </c>
      <c r="N14" s="49" t="s">
        <v>37</v>
      </c>
      <c r="O14" s="49" t="s">
        <v>37</v>
      </c>
      <c r="P14" s="49" t="s">
        <v>37</v>
      </c>
      <c r="Q14" s="49" t="s">
        <v>37</v>
      </c>
      <c r="R14" s="49" t="s">
        <v>37</v>
      </c>
      <c r="S14" s="49" t="s">
        <v>37</v>
      </c>
      <c r="T14" s="49" t="s">
        <v>37</v>
      </c>
      <c r="U14" s="49" t="s">
        <v>37</v>
      </c>
      <c r="V14" s="49" t="s">
        <v>37</v>
      </c>
      <c r="W14" s="49" t="s">
        <v>37</v>
      </c>
      <c r="X14" s="49" t="s">
        <v>37</v>
      </c>
      <c r="Y14" s="49" t="s">
        <v>37</v>
      </c>
      <c r="Z14" s="49" t="s">
        <v>37</v>
      </c>
      <c r="AA14" s="49" t="s">
        <v>37</v>
      </c>
      <c r="AB14" s="49" t="s">
        <v>37</v>
      </c>
      <c r="AC14" s="49" t="s">
        <v>37</v>
      </c>
      <c r="AD14" s="49" t="s">
        <v>37</v>
      </c>
      <c r="AE14" s="49" t="s">
        <v>37</v>
      </c>
      <c r="AF14" s="49" t="s">
        <v>37</v>
      </c>
      <c r="AG14" s="49" t="s">
        <v>37</v>
      </c>
      <c r="AH14" s="49" t="s">
        <v>37</v>
      </c>
      <c r="AI14" s="49" t="s">
        <v>37</v>
      </c>
      <c r="AJ14" s="49" t="s">
        <v>37</v>
      </c>
      <c r="AK14" s="49" t="s">
        <v>37</v>
      </c>
      <c r="AL14" s="49" t="s">
        <v>37</v>
      </c>
      <c r="AM14" s="49" t="s">
        <v>37</v>
      </c>
      <c r="AN14" s="49" t="s">
        <v>37</v>
      </c>
      <c r="AO14" s="49" t="s">
        <v>37</v>
      </c>
      <c r="AP14" s="49" t="s">
        <v>37</v>
      </c>
      <c r="AQ14" s="49" t="s">
        <v>37</v>
      </c>
      <c r="AR14" s="49" t="s">
        <v>37</v>
      </c>
      <c r="AS14" s="49" t="s">
        <v>37</v>
      </c>
      <c r="AT14" s="49" t="s">
        <v>37</v>
      </c>
      <c r="AU14" s="49" t="s">
        <v>37</v>
      </c>
      <c r="AV14" s="49" t="s">
        <v>37</v>
      </c>
      <c r="AW14" s="49" t="s">
        <v>37</v>
      </c>
      <c r="AX14" s="49" t="s">
        <v>37</v>
      </c>
      <c r="AY14" s="49" t="s">
        <v>37</v>
      </c>
      <c r="AZ14" s="49" t="s">
        <v>37</v>
      </c>
      <c r="BA14" s="49" t="s">
        <v>37</v>
      </c>
      <c r="BB14" s="49" t="s">
        <v>37</v>
      </c>
      <c r="BC14" s="49" t="s">
        <v>37</v>
      </c>
      <c r="BD14" s="49" t="s">
        <v>37</v>
      </c>
      <c r="BE14" s="49" t="s">
        <v>37</v>
      </c>
      <c r="BF14" s="49" t="s">
        <v>37</v>
      </c>
      <c r="BG14" s="49" t="s">
        <v>37</v>
      </c>
      <c r="BH14" s="49" t="s">
        <v>37</v>
      </c>
      <c r="BI14" s="49" t="s">
        <v>37</v>
      </c>
      <c r="BJ14" s="49" t="s">
        <v>37</v>
      </c>
      <c r="BK14" s="49">
        <v>12.24</v>
      </c>
      <c r="BL14" s="49">
        <v>14.34</v>
      </c>
      <c r="BM14" s="49">
        <v>13.53</v>
      </c>
      <c r="BN14" s="49">
        <v>12.46</v>
      </c>
      <c r="BO14" s="49">
        <v>12.3</v>
      </c>
      <c r="BP14" s="51">
        <v>14.66</v>
      </c>
      <c r="BQ14" s="49">
        <v>14.82</v>
      </c>
      <c r="BR14" s="51">
        <v>13.85</v>
      </c>
      <c r="BS14" s="49">
        <v>17.18</v>
      </c>
      <c r="BT14" s="49">
        <v>15.22</v>
      </c>
      <c r="BU14" s="49">
        <v>15.858000000000001</v>
      </c>
      <c r="BV14" s="49">
        <v>18.222881999999998</v>
      </c>
      <c r="BW14" s="50">
        <v>18.958449000000002</v>
      </c>
      <c r="BX14" s="50">
        <v>18.125577679999999</v>
      </c>
      <c r="BY14" s="50">
        <v>20.41184299</v>
      </c>
      <c r="BZ14" s="49">
        <v>18.791653010000001</v>
      </c>
      <c r="CA14" s="49">
        <v>29.34068899</v>
      </c>
      <c r="CB14" s="49">
        <v>25.880500990000002</v>
      </c>
      <c r="CC14" s="394">
        <v>24.264915989999999</v>
      </c>
      <c r="CD14" s="394">
        <v>23.11874001</v>
      </c>
      <c r="CE14" s="363">
        <v>31.896339019999999</v>
      </c>
    </row>
    <row r="15" spans="1:86" x14ac:dyDescent="0.2">
      <c r="A15" s="47" t="s">
        <v>139</v>
      </c>
      <c r="B15" s="48"/>
      <c r="C15" s="49" t="s">
        <v>37</v>
      </c>
      <c r="D15" s="49" t="s">
        <v>37</v>
      </c>
      <c r="E15" s="49" t="s">
        <v>37</v>
      </c>
      <c r="F15" s="49" t="s">
        <v>37</v>
      </c>
      <c r="G15" s="49" t="s">
        <v>37</v>
      </c>
      <c r="H15" s="49" t="s">
        <v>37</v>
      </c>
      <c r="I15" s="49" t="s">
        <v>37</v>
      </c>
      <c r="J15" s="49" t="s">
        <v>37</v>
      </c>
      <c r="K15" s="49" t="s">
        <v>37</v>
      </c>
      <c r="L15" s="49" t="s">
        <v>37</v>
      </c>
      <c r="M15" s="49" t="s">
        <v>37</v>
      </c>
      <c r="N15" s="49" t="s">
        <v>37</v>
      </c>
      <c r="O15" s="49" t="s">
        <v>37</v>
      </c>
      <c r="P15" s="49" t="s">
        <v>37</v>
      </c>
      <c r="Q15" s="49" t="s">
        <v>37</v>
      </c>
      <c r="R15" s="49" t="s">
        <v>37</v>
      </c>
      <c r="S15" s="49" t="s">
        <v>37</v>
      </c>
      <c r="T15" s="49" t="s">
        <v>37</v>
      </c>
      <c r="U15" s="49" t="s">
        <v>37</v>
      </c>
      <c r="V15" s="49" t="s">
        <v>37</v>
      </c>
      <c r="W15" s="49" t="s">
        <v>37</v>
      </c>
      <c r="X15" s="49" t="s">
        <v>37</v>
      </c>
      <c r="Y15" s="49" t="s">
        <v>37</v>
      </c>
      <c r="Z15" s="49" t="s">
        <v>37</v>
      </c>
      <c r="AA15" s="49" t="s">
        <v>37</v>
      </c>
      <c r="AB15" s="49" t="s">
        <v>37</v>
      </c>
      <c r="AC15" s="49" t="s">
        <v>37</v>
      </c>
      <c r="AD15" s="49" t="s">
        <v>37</v>
      </c>
      <c r="AE15" s="49" t="s">
        <v>37</v>
      </c>
      <c r="AF15" s="49" t="s">
        <v>37</v>
      </c>
      <c r="AG15" s="49" t="s">
        <v>37</v>
      </c>
      <c r="AH15" s="49" t="s">
        <v>37</v>
      </c>
      <c r="AI15" s="49" t="s">
        <v>37</v>
      </c>
      <c r="AJ15" s="49" t="s">
        <v>37</v>
      </c>
      <c r="AK15" s="49" t="s">
        <v>37</v>
      </c>
      <c r="AL15" s="49" t="s">
        <v>37</v>
      </c>
      <c r="AM15" s="49" t="s">
        <v>37</v>
      </c>
      <c r="AN15" s="49" t="s">
        <v>37</v>
      </c>
      <c r="AO15" s="49" t="s">
        <v>37</v>
      </c>
      <c r="AP15" s="49" t="s">
        <v>37</v>
      </c>
      <c r="AQ15" s="49" t="s">
        <v>37</v>
      </c>
      <c r="AR15" s="49" t="s">
        <v>37</v>
      </c>
      <c r="AS15" s="49" t="s">
        <v>37</v>
      </c>
      <c r="AT15" s="49" t="s">
        <v>37</v>
      </c>
      <c r="AU15" s="49" t="s">
        <v>37</v>
      </c>
      <c r="AV15" s="49" t="s">
        <v>37</v>
      </c>
      <c r="AW15" s="49" t="s">
        <v>37</v>
      </c>
      <c r="AX15" s="49" t="s">
        <v>37</v>
      </c>
      <c r="AY15" s="49" t="s">
        <v>37</v>
      </c>
      <c r="AZ15" s="49" t="s">
        <v>37</v>
      </c>
      <c r="BA15" s="49" t="s">
        <v>37</v>
      </c>
      <c r="BB15" s="49" t="s">
        <v>37</v>
      </c>
      <c r="BC15" s="49" t="s">
        <v>37</v>
      </c>
      <c r="BD15" s="49" t="s">
        <v>37</v>
      </c>
      <c r="BE15" s="49" t="s">
        <v>37</v>
      </c>
      <c r="BF15" s="49" t="s">
        <v>37</v>
      </c>
      <c r="BG15" s="49" t="s">
        <v>37</v>
      </c>
      <c r="BH15" s="49" t="s">
        <v>37</v>
      </c>
      <c r="BI15" s="49" t="s">
        <v>37</v>
      </c>
      <c r="BJ15" s="49" t="s">
        <v>37</v>
      </c>
      <c r="BK15" s="49">
        <v>3.78</v>
      </c>
      <c r="BL15" s="49">
        <v>15.55</v>
      </c>
      <c r="BM15" s="49">
        <v>0.88</v>
      </c>
      <c r="BN15" s="49">
        <v>10.64</v>
      </c>
      <c r="BO15" s="49">
        <v>8.0500000000000007</v>
      </c>
      <c r="BP15" s="51">
        <v>8.5500000000000007</v>
      </c>
      <c r="BQ15" s="49">
        <v>1.24</v>
      </c>
      <c r="BR15" s="51">
        <v>16.690000000000001</v>
      </c>
      <c r="BS15" s="49">
        <v>6.58</v>
      </c>
      <c r="BT15" s="49">
        <v>8.01</v>
      </c>
      <c r="BU15" s="49">
        <v>1.5169999999999999</v>
      </c>
      <c r="BV15" s="49">
        <v>7.4969950000000001</v>
      </c>
      <c r="BW15" s="50">
        <v>4.4291239999999998</v>
      </c>
      <c r="BX15" s="50">
        <v>7.0262510000000002</v>
      </c>
      <c r="BY15" s="50">
        <v>3.106236</v>
      </c>
      <c r="BZ15" s="49">
        <v>12.725985</v>
      </c>
      <c r="CA15" s="49">
        <v>13.644941000000001</v>
      </c>
      <c r="CB15" s="49">
        <v>2.4972210000000001</v>
      </c>
      <c r="CC15" s="394">
        <v>3.154531</v>
      </c>
      <c r="CD15" s="394">
        <v>17.415866000000001</v>
      </c>
      <c r="CE15" s="363">
        <v>22.849661000000001</v>
      </c>
    </row>
    <row r="16" spans="1:86" ht="15" x14ac:dyDescent="0.2">
      <c r="A16" s="47" t="s">
        <v>191</v>
      </c>
      <c r="B16" s="48"/>
      <c r="C16" s="49" t="s">
        <v>37</v>
      </c>
      <c r="D16" s="49" t="s">
        <v>37</v>
      </c>
      <c r="E16" s="49" t="s">
        <v>37</v>
      </c>
      <c r="F16" s="49" t="s">
        <v>37</v>
      </c>
      <c r="G16" s="49" t="s">
        <v>37</v>
      </c>
      <c r="H16" s="49" t="s">
        <v>37</v>
      </c>
      <c r="I16" s="49" t="s">
        <v>37</v>
      </c>
      <c r="J16" s="49" t="s">
        <v>37</v>
      </c>
      <c r="K16" s="49" t="s">
        <v>37</v>
      </c>
      <c r="L16" s="49" t="s">
        <v>37</v>
      </c>
      <c r="M16" s="49" t="s">
        <v>37</v>
      </c>
      <c r="N16" s="49" t="s">
        <v>37</v>
      </c>
      <c r="O16" s="49" t="s">
        <v>37</v>
      </c>
      <c r="P16" s="49" t="s">
        <v>37</v>
      </c>
      <c r="Q16" s="49" t="s">
        <v>37</v>
      </c>
      <c r="R16" s="49" t="s">
        <v>37</v>
      </c>
      <c r="S16" s="49" t="s">
        <v>37</v>
      </c>
      <c r="T16" s="49" t="s">
        <v>37</v>
      </c>
      <c r="U16" s="49" t="s">
        <v>37</v>
      </c>
      <c r="V16" s="49" t="s">
        <v>37</v>
      </c>
      <c r="W16" s="49" t="s">
        <v>37</v>
      </c>
      <c r="X16" s="49" t="s">
        <v>37</v>
      </c>
      <c r="Y16" s="49" t="s">
        <v>37</v>
      </c>
      <c r="Z16" s="49" t="s">
        <v>37</v>
      </c>
      <c r="AA16" s="49" t="s">
        <v>37</v>
      </c>
      <c r="AB16" s="49" t="s">
        <v>37</v>
      </c>
      <c r="AC16" s="49" t="s">
        <v>37</v>
      </c>
      <c r="AD16" s="49" t="s">
        <v>37</v>
      </c>
      <c r="AE16" s="49" t="s">
        <v>37</v>
      </c>
      <c r="AF16" s="49" t="s">
        <v>37</v>
      </c>
      <c r="AG16" s="49" t="s">
        <v>37</v>
      </c>
      <c r="AH16" s="49" t="s">
        <v>37</v>
      </c>
      <c r="AI16" s="49" t="s">
        <v>37</v>
      </c>
      <c r="AJ16" s="49" t="s">
        <v>37</v>
      </c>
      <c r="AK16" s="49" t="s">
        <v>37</v>
      </c>
      <c r="AL16" s="49" t="s">
        <v>37</v>
      </c>
      <c r="AM16" s="49" t="s">
        <v>37</v>
      </c>
      <c r="AN16" s="49" t="s">
        <v>37</v>
      </c>
      <c r="AO16" s="49" t="s">
        <v>37</v>
      </c>
      <c r="AP16" s="49" t="s">
        <v>37</v>
      </c>
      <c r="AQ16" s="49" t="s">
        <v>37</v>
      </c>
      <c r="AR16" s="49" t="s">
        <v>37</v>
      </c>
      <c r="AS16" s="49" t="s">
        <v>37</v>
      </c>
      <c r="AT16" s="49" t="s">
        <v>37</v>
      </c>
      <c r="AU16" s="49" t="s">
        <v>37</v>
      </c>
      <c r="AV16" s="49" t="s">
        <v>37</v>
      </c>
      <c r="AW16" s="49" t="s">
        <v>37</v>
      </c>
      <c r="AX16" s="49" t="s">
        <v>37</v>
      </c>
      <c r="AY16" s="49" t="s">
        <v>37</v>
      </c>
      <c r="AZ16" s="49" t="s">
        <v>37</v>
      </c>
      <c r="BA16" s="49" t="s">
        <v>37</v>
      </c>
      <c r="BB16" s="49" t="s">
        <v>37</v>
      </c>
      <c r="BC16" s="49" t="s">
        <v>37</v>
      </c>
      <c r="BD16" s="49" t="s">
        <v>37</v>
      </c>
      <c r="BE16" s="49" t="s">
        <v>37</v>
      </c>
      <c r="BF16" s="49" t="s">
        <v>37</v>
      </c>
      <c r="BG16" s="49" t="s">
        <v>37</v>
      </c>
      <c r="BH16" s="49" t="s">
        <v>37</v>
      </c>
      <c r="BI16" s="49" t="s">
        <v>37</v>
      </c>
      <c r="BJ16" s="49" t="s">
        <v>37</v>
      </c>
      <c r="BK16" s="49">
        <v>7.3493940000000002</v>
      </c>
      <c r="BL16" s="49">
        <v>4.4924669999999995</v>
      </c>
      <c r="BM16" s="49">
        <v>6.6320649999999999</v>
      </c>
      <c r="BN16" s="49">
        <v>5.4562819999999999</v>
      </c>
      <c r="BO16" s="49">
        <v>3.8598270000000001</v>
      </c>
      <c r="BP16" s="51">
        <v>5.1363310000000002</v>
      </c>
      <c r="BQ16" s="49">
        <v>3.310073</v>
      </c>
      <c r="BR16" s="51">
        <v>2.1994119999999997</v>
      </c>
      <c r="BS16" s="49">
        <v>-1.9743769999999996</v>
      </c>
      <c r="BT16" s="49">
        <v>2.4866830000000002</v>
      </c>
      <c r="BU16" s="49">
        <v>1.0154949999999996</v>
      </c>
      <c r="BV16" s="49">
        <v>1.8195686100000596</v>
      </c>
      <c r="BW16" s="50">
        <v>-1.4881627773239341</v>
      </c>
      <c r="BX16" s="50">
        <v>0.25552104177742407</v>
      </c>
      <c r="BY16" s="50">
        <v>7.4585403575159859E-2</v>
      </c>
      <c r="BZ16" s="49">
        <v>2.6864614319712521</v>
      </c>
      <c r="CA16" s="49">
        <v>-1.5200807628436319</v>
      </c>
      <c r="CB16" s="49">
        <v>-6.6783499103463555</v>
      </c>
      <c r="CC16" s="394">
        <v>-6.3591723695134128</v>
      </c>
      <c r="CD16" s="394">
        <v>-1.78900294999997</v>
      </c>
      <c r="CE16" s="453">
        <v>-9.9248190131917031</v>
      </c>
      <c r="CF16" s="469"/>
    </row>
    <row r="17" spans="1:87" s="31" customFormat="1" ht="15" x14ac:dyDescent="0.2">
      <c r="A17" s="54" t="s">
        <v>192</v>
      </c>
      <c r="B17" s="55"/>
      <c r="C17" s="56">
        <f>13-C12-C11</f>
        <v>-0.10000000000000142</v>
      </c>
      <c r="D17" s="56">
        <f>10.5-D12-D11</f>
        <v>2.1000000000000014</v>
      </c>
      <c r="E17" s="56">
        <f>13.7-E12-E11</f>
        <v>5.6999999999999984</v>
      </c>
      <c r="F17" s="56">
        <f>24.8-F12-F11</f>
        <v>1.7000000000000028</v>
      </c>
      <c r="G17" s="56">
        <f>19.2-G12-G11</f>
        <v>1.3000000000000007</v>
      </c>
      <c r="H17" s="56">
        <f>14.1-H12-H11</f>
        <v>1.2000000000000011</v>
      </c>
      <c r="I17" s="56">
        <f>17-I12-I11</f>
        <v>1.3999999999999986</v>
      </c>
      <c r="J17" s="56">
        <f>26.6-J12-J11</f>
        <v>1.2000000000000028</v>
      </c>
      <c r="K17" s="56">
        <f>18.6-K12-K11</f>
        <v>1.8000000000000007</v>
      </c>
      <c r="L17" s="56">
        <f>20.3-L12-L11</f>
        <v>2.4000000000000021</v>
      </c>
      <c r="M17" s="56">
        <f>29.5-M12-M11</f>
        <v>2.3999999999999986</v>
      </c>
      <c r="N17" s="56">
        <f>32.8-N12-N11</f>
        <v>3.6999999999999957</v>
      </c>
      <c r="O17" s="56">
        <f>49.7-O12-O11</f>
        <v>2.1000000000000014</v>
      </c>
      <c r="P17" s="56">
        <f>34.7-P12-P11</f>
        <v>5.9000000000000021</v>
      </c>
      <c r="Q17" s="56">
        <f>25.6-Q12-Q11</f>
        <v>3.3999999999999986</v>
      </c>
      <c r="R17" s="56">
        <f>37.9-R12-R11</f>
        <v>6.0999999999999943</v>
      </c>
      <c r="S17" s="56">
        <f>43.5-S12-S11</f>
        <v>3.6000000000000014</v>
      </c>
      <c r="T17" s="56">
        <f>44.5-T12-T11</f>
        <v>4.8000000000000043</v>
      </c>
      <c r="U17" s="56">
        <f>53.3-U12-U11</f>
        <v>3.6999999999999957</v>
      </c>
      <c r="V17" s="56">
        <f>59.3-V12-V11</f>
        <v>1.1999999999999957</v>
      </c>
      <c r="W17" s="56">
        <f>93.1-W12-W11</f>
        <v>5.1999999999999886</v>
      </c>
      <c r="X17" s="56">
        <f>88.7-X12-X11</f>
        <v>9.2000000000000028</v>
      </c>
      <c r="Y17" s="56">
        <f>53.3-Y12-Y11</f>
        <v>3.8999999999999986</v>
      </c>
      <c r="Z17" s="56">
        <f>79.6-Z12-Z11</f>
        <v>11.999999999999993</v>
      </c>
      <c r="AA17" s="56">
        <f>94.8-AA12-AA11</f>
        <v>10.400000000000006</v>
      </c>
      <c r="AB17" s="56">
        <f>94.9-AB12-AB11</f>
        <v>20.900000000000006</v>
      </c>
      <c r="AC17" s="58">
        <f>89.3-AC11-AC12</f>
        <v>9.4299999999999891</v>
      </c>
      <c r="AD17" s="58">
        <f>103.05-AD11-AD12</f>
        <v>17.049999999999997</v>
      </c>
      <c r="AE17" s="58">
        <f>86.7-AE11-AE12</f>
        <v>10.589999999999998</v>
      </c>
      <c r="AF17" s="58">
        <f>79.21-AF11-AF12</f>
        <v>15.189999999999992</v>
      </c>
      <c r="AG17" s="58">
        <f>69-AG11-AG12</f>
        <v>7.5999999999999943</v>
      </c>
      <c r="AH17" s="58">
        <f>80-AH11-AH12+0.2</f>
        <v>11.2</v>
      </c>
      <c r="AI17" s="58">
        <f>74-AI11-AI12+0.2</f>
        <v>8.6879999999999917</v>
      </c>
      <c r="AJ17" s="56">
        <v>12</v>
      </c>
      <c r="AK17" s="57">
        <v>12</v>
      </c>
      <c r="AL17" s="56">
        <v>16</v>
      </c>
      <c r="AM17" s="58">
        <v>15</v>
      </c>
      <c r="AN17" s="56">
        <v>17</v>
      </c>
      <c r="AO17" s="56">
        <v>11</v>
      </c>
      <c r="AP17" s="56">
        <v>20</v>
      </c>
      <c r="AQ17" s="56">
        <v>14.515415000000001</v>
      </c>
      <c r="AR17" s="56">
        <v>22.777985999999999</v>
      </c>
      <c r="AS17" s="57">
        <v>13.983899000000001</v>
      </c>
      <c r="AT17" s="58">
        <v>11.022131999999999</v>
      </c>
      <c r="AU17" s="58">
        <v>16.953130000000002</v>
      </c>
      <c r="AV17" s="56">
        <v>13.904185999999999</v>
      </c>
      <c r="AW17" s="56">
        <v>14.307376999999999</v>
      </c>
      <c r="AX17" s="56">
        <v>20.146729000000001</v>
      </c>
      <c r="AY17" s="56">
        <v>19.622002000000002</v>
      </c>
      <c r="AZ17" s="56">
        <v>18.184221999999998</v>
      </c>
      <c r="BA17" s="56">
        <v>16.143746</v>
      </c>
      <c r="BB17" s="56">
        <v>21.929559000000001</v>
      </c>
      <c r="BC17" s="56">
        <v>22.261908999999999</v>
      </c>
      <c r="BD17" s="56">
        <v>25.927990999999999</v>
      </c>
      <c r="BE17" s="56">
        <v>24.702036</v>
      </c>
      <c r="BF17" s="56">
        <v>38.014127000000002</v>
      </c>
      <c r="BG17" s="56">
        <v>29.823225999999998</v>
      </c>
      <c r="BH17" s="56">
        <v>44.671413000000001</v>
      </c>
      <c r="BI17" s="57">
        <v>29.970749999999999</v>
      </c>
      <c r="BJ17" s="56">
        <v>43.699605000000005</v>
      </c>
      <c r="BK17" s="56">
        <v>38.669393999999997</v>
      </c>
      <c r="BL17" s="56">
        <v>51.912466999999999</v>
      </c>
      <c r="BM17" s="56">
        <v>44.252064999999995</v>
      </c>
      <c r="BN17" s="56">
        <v>53.126281999999996</v>
      </c>
      <c r="BO17" s="56">
        <v>49.586827</v>
      </c>
      <c r="BP17" s="57">
        <v>52.346331000000006</v>
      </c>
      <c r="BQ17" s="56">
        <v>38.519072999999999</v>
      </c>
      <c r="BR17" s="57">
        <v>63.958411999999996</v>
      </c>
      <c r="BS17" s="56">
        <v>54.675623000000002</v>
      </c>
      <c r="BT17" s="56">
        <v>55.367683</v>
      </c>
      <c r="BU17" s="56">
        <v>50.658495000000009</v>
      </c>
      <c r="BV17" s="56">
        <v>59.00957893000006</v>
      </c>
      <c r="BW17" s="58">
        <v>53.466672502676062</v>
      </c>
      <c r="BX17" s="58">
        <v>54.725116051777434</v>
      </c>
      <c r="BY17" s="58">
        <v>56.502588103575157</v>
      </c>
      <c r="BZ17" s="56">
        <v>65.044321051971252</v>
      </c>
      <c r="CA17" s="56">
        <v>114.12233866715637</v>
      </c>
      <c r="CB17" s="56">
        <v>102.24718823965367</v>
      </c>
      <c r="CC17" s="395">
        <v>109.036196370487</v>
      </c>
      <c r="CD17" s="395">
        <f>SUM(CD13:CD16)</f>
        <v>152.75893532000003</v>
      </c>
      <c r="CE17" s="364">
        <f>SUM(CE13:CE16)</f>
        <v>292.10704444680829</v>
      </c>
      <c r="CF17" s="464"/>
      <c r="CG17" s="464"/>
      <c r="CH17"/>
    </row>
    <row r="18" spans="1:87" ht="15" x14ac:dyDescent="0.2">
      <c r="A18" s="47" t="s">
        <v>193</v>
      </c>
      <c r="B18" s="48"/>
      <c r="C18" s="49">
        <v>8.6999999999999993</v>
      </c>
      <c r="D18" s="49">
        <v>9.5</v>
      </c>
      <c r="E18" s="49">
        <v>12.5</v>
      </c>
      <c r="F18" s="49">
        <v>14.3</v>
      </c>
      <c r="G18" s="49">
        <v>14.2</v>
      </c>
      <c r="H18" s="49">
        <v>14</v>
      </c>
      <c r="I18" s="49">
        <v>13.5</v>
      </c>
      <c r="J18" s="49">
        <v>14</v>
      </c>
      <c r="K18" s="49">
        <v>12.9</v>
      </c>
      <c r="L18" s="49">
        <v>13.2</v>
      </c>
      <c r="M18" s="49">
        <v>13.1</v>
      </c>
      <c r="N18" s="49">
        <v>15</v>
      </c>
      <c r="O18" s="49">
        <v>17.8</v>
      </c>
      <c r="P18" s="49">
        <v>16</v>
      </c>
      <c r="Q18" s="49">
        <v>16.5</v>
      </c>
      <c r="R18" s="49">
        <v>18.3</v>
      </c>
      <c r="S18" s="49">
        <v>20.100000000000001</v>
      </c>
      <c r="T18" s="49">
        <v>23.1</v>
      </c>
      <c r="U18" s="49">
        <v>23.3</v>
      </c>
      <c r="V18" s="49">
        <v>26.5</v>
      </c>
      <c r="W18" s="49">
        <v>35.700000000000003</v>
      </c>
      <c r="X18" s="49">
        <v>44.8</v>
      </c>
      <c r="Y18" s="49">
        <v>45.5</v>
      </c>
      <c r="Z18" s="49">
        <v>54.7</v>
      </c>
      <c r="AA18" s="49">
        <v>63.4</v>
      </c>
      <c r="AB18" s="49">
        <v>72.7</v>
      </c>
      <c r="AC18" s="50">
        <v>78</v>
      </c>
      <c r="AD18" s="50">
        <v>88</v>
      </c>
      <c r="AE18" s="50">
        <v>96.8</v>
      </c>
      <c r="AF18" s="50">
        <v>103.4</v>
      </c>
      <c r="AG18" s="50">
        <v>108</v>
      </c>
      <c r="AH18" s="50">
        <v>86</v>
      </c>
      <c r="AI18" s="50">
        <v>47.9</v>
      </c>
      <c r="AJ18" s="49">
        <v>31</v>
      </c>
      <c r="AK18" s="51">
        <v>28</v>
      </c>
      <c r="AL18" s="49">
        <v>30</v>
      </c>
      <c r="AM18" s="50">
        <v>33</v>
      </c>
      <c r="AN18" s="49">
        <v>37</v>
      </c>
      <c r="AO18" s="49">
        <v>44</v>
      </c>
      <c r="AP18" s="49">
        <v>59</v>
      </c>
      <c r="AQ18" s="49">
        <v>72.484584999999996</v>
      </c>
      <c r="AR18" s="49">
        <v>83.222014000000001</v>
      </c>
      <c r="AS18" s="51">
        <v>91.016101000000006</v>
      </c>
      <c r="AT18" s="50">
        <v>88.977868000000001</v>
      </c>
      <c r="AU18" s="50">
        <v>79.046869999999998</v>
      </c>
      <c r="AV18" s="49">
        <v>76.095814000000004</v>
      </c>
      <c r="AW18" s="49">
        <v>74.692622999999998</v>
      </c>
      <c r="AX18" s="49">
        <v>63.853270999999999</v>
      </c>
      <c r="AY18" s="49">
        <v>56.377997999999998</v>
      </c>
      <c r="AZ18" s="49">
        <v>56.815778000000002</v>
      </c>
      <c r="BA18" s="49">
        <v>58.856254</v>
      </c>
      <c r="BB18" s="49">
        <v>61.070441000000002</v>
      </c>
      <c r="BC18" s="49">
        <v>58.438091</v>
      </c>
      <c r="BD18" s="49">
        <v>62.572008999999994</v>
      </c>
      <c r="BE18" s="49">
        <v>51.487964000000005</v>
      </c>
      <c r="BF18" s="49">
        <v>49.985872999999998</v>
      </c>
      <c r="BG18" s="49">
        <v>41.376773999999997</v>
      </c>
      <c r="BH18" s="49">
        <v>39.028587000000002</v>
      </c>
      <c r="BI18" s="51">
        <v>39.829250000000002</v>
      </c>
      <c r="BJ18" s="49">
        <v>42.900395000000003</v>
      </c>
      <c r="BK18" s="49">
        <v>44.390605999999998</v>
      </c>
      <c r="BL18" s="49">
        <v>42.487532999999999</v>
      </c>
      <c r="BM18" s="49">
        <v>42.707934999999999</v>
      </c>
      <c r="BN18" s="49">
        <v>47.523718000000002</v>
      </c>
      <c r="BO18" s="49">
        <v>45.660173</v>
      </c>
      <c r="BP18" s="51">
        <v>46.983669000000006</v>
      </c>
      <c r="BQ18" s="49">
        <v>47.929926999999999</v>
      </c>
      <c r="BR18" s="51">
        <v>49.640588000000001</v>
      </c>
      <c r="BS18" s="49">
        <v>51.708376999999999</v>
      </c>
      <c r="BT18" s="49">
        <v>51.815316999999993</v>
      </c>
      <c r="BU18" s="49">
        <v>53.474505000000001</v>
      </c>
      <c r="BV18" s="49">
        <v>55.422927459999997</v>
      </c>
      <c r="BW18" s="50">
        <v>51.593082240000001</v>
      </c>
      <c r="BX18" s="50">
        <v>62.672278849999891</v>
      </c>
      <c r="BY18" s="50">
        <v>67.273087220000008</v>
      </c>
      <c r="BZ18" s="49">
        <v>71.062272879999995</v>
      </c>
      <c r="CA18" s="49">
        <v>81.524754839999986</v>
      </c>
      <c r="CB18" s="49">
        <v>93.229682489999988</v>
      </c>
      <c r="CC18" s="394">
        <v>94.203573289999994</v>
      </c>
      <c r="CD18" s="394">
        <v>94.844381960000007</v>
      </c>
      <c r="CE18" s="363">
        <v>98.286143690000031</v>
      </c>
    </row>
    <row r="19" spans="1:87" x14ac:dyDescent="0.2">
      <c r="A19" s="47" t="s">
        <v>115</v>
      </c>
      <c r="B19" s="48"/>
      <c r="C19" s="49">
        <v>-3.5</v>
      </c>
      <c r="D19" s="49">
        <v>-4</v>
      </c>
      <c r="E19" s="49">
        <v>-5.2</v>
      </c>
      <c r="F19" s="49">
        <v>-5</v>
      </c>
      <c r="G19" s="49">
        <v>-4.4000000000000004</v>
      </c>
      <c r="H19" s="49">
        <v>-4.4000000000000004</v>
      </c>
      <c r="I19" s="49">
        <v>-3.5</v>
      </c>
      <c r="J19" s="49">
        <v>-3.3</v>
      </c>
      <c r="K19" s="49">
        <v>-2.6720000000000002</v>
      </c>
      <c r="L19" s="49">
        <v>-2.5059999999999998</v>
      </c>
      <c r="M19" s="49">
        <v>-1.8900000000000001</v>
      </c>
      <c r="N19" s="49">
        <v>-1.99</v>
      </c>
      <c r="O19" s="49">
        <v>-2.4899999999999998</v>
      </c>
      <c r="P19" s="49">
        <v>-1.6519999999999999</v>
      </c>
      <c r="Q19" s="49">
        <v>-1.871</v>
      </c>
      <c r="R19" s="49">
        <v>-2.871</v>
      </c>
      <c r="S19" s="49">
        <v>-2.8</v>
      </c>
      <c r="T19" s="49">
        <v>-3.8220000000000001</v>
      </c>
      <c r="U19" s="49">
        <v>-2.8119999999999998</v>
      </c>
      <c r="V19" s="49">
        <v>-3.1119999999999997</v>
      </c>
      <c r="W19" s="49">
        <v>-5.55</v>
      </c>
      <c r="X19" s="49">
        <v>-8.9</v>
      </c>
      <c r="Y19" s="49">
        <v>-12.545</v>
      </c>
      <c r="Z19" s="49">
        <v>-17.861999999999998</v>
      </c>
      <c r="AA19" s="49">
        <v>-23.074999999999999</v>
      </c>
      <c r="AB19" s="49">
        <v>-29.475000000000001</v>
      </c>
      <c r="AC19" s="50">
        <v>-36.909045000000006</v>
      </c>
      <c r="AD19" s="50">
        <v>-40.936350000000004</v>
      </c>
      <c r="AE19" s="50">
        <v>-47.450001</v>
      </c>
      <c r="AF19" s="50">
        <v>-53.907379999999996</v>
      </c>
      <c r="AG19" s="50">
        <v>-60.458192799999999</v>
      </c>
      <c r="AH19" s="50">
        <v>-42.687289200000002</v>
      </c>
      <c r="AI19" s="50">
        <v>-14.817593</v>
      </c>
      <c r="AJ19" s="49">
        <v>-5.4228542800000001</v>
      </c>
      <c r="AK19" s="51">
        <v>-3.43337688</v>
      </c>
      <c r="AL19" s="49">
        <v>-2.44312686</v>
      </c>
      <c r="AM19" s="50">
        <v>-2.5</v>
      </c>
      <c r="AN19" s="49">
        <v>-4.1377740000000003</v>
      </c>
      <c r="AO19" s="49">
        <v>-6.7490734999999997</v>
      </c>
      <c r="AP19" s="49">
        <v>-10.75672552</v>
      </c>
      <c r="AQ19" s="49">
        <v>-15.439</v>
      </c>
      <c r="AR19" s="49">
        <v>-22.189</v>
      </c>
      <c r="AS19" s="51">
        <v>-30.012010029999999</v>
      </c>
      <c r="AT19" s="50">
        <v>-28.671770989999999</v>
      </c>
      <c r="AU19" s="50">
        <v>-22.91</v>
      </c>
      <c r="AV19" s="49">
        <v>-20.45</v>
      </c>
      <c r="AW19" s="49">
        <v>-21.584876520000002</v>
      </c>
      <c r="AX19" s="49">
        <v>-18.409058529999999</v>
      </c>
      <c r="AY19" s="49">
        <v>-13.907</v>
      </c>
      <c r="AZ19" s="49">
        <v>-14.475</v>
      </c>
      <c r="BA19" s="49">
        <v>-15.186360000000001</v>
      </c>
      <c r="BB19" s="49">
        <v>-14.178072999999999</v>
      </c>
      <c r="BC19" s="49">
        <v>-14.5</v>
      </c>
      <c r="BD19" s="49">
        <v>-16</v>
      </c>
      <c r="BE19" s="49">
        <v>-12.12</v>
      </c>
      <c r="BF19" s="49">
        <v>-12.3</v>
      </c>
      <c r="BG19" s="49">
        <v>-5.3</v>
      </c>
      <c r="BH19" s="49">
        <v>-10</v>
      </c>
      <c r="BI19" s="51">
        <v>-18.917867999999999</v>
      </c>
      <c r="BJ19" s="49">
        <v>-20</v>
      </c>
      <c r="BK19" s="49">
        <v>-21.6</v>
      </c>
      <c r="BL19" s="49">
        <v>-23.9</v>
      </c>
      <c r="BM19" s="49">
        <v>-26</v>
      </c>
      <c r="BN19" s="49">
        <v>-25.5</v>
      </c>
      <c r="BO19" s="49">
        <v>-24.9</v>
      </c>
      <c r="BP19" s="51">
        <v>-27.4</v>
      </c>
      <c r="BQ19" s="49">
        <v>-29.04</v>
      </c>
      <c r="BR19" s="51">
        <v>-29</v>
      </c>
      <c r="BS19" s="49">
        <v>-29.035</v>
      </c>
      <c r="BT19" s="49">
        <v>-29.456</v>
      </c>
      <c r="BU19" s="49">
        <v>-28.978000000000002</v>
      </c>
      <c r="BV19" s="49">
        <v>-34.393190689999798</v>
      </c>
      <c r="BW19" s="50">
        <v>-21.316934539999998</v>
      </c>
      <c r="BX19" s="50">
        <v>-20.692108480000002</v>
      </c>
      <c r="BY19" s="50">
        <v>-22.523740750000009</v>
      </c>
      <c r="BZ19" s="49">
        <v>-22.734577829999999</v>
      </c>
      <c r="CA19" s="49">
        <v>-17.852391769999993</v>
      </c>
      <c r="CB19" s="49">
        <v>-19.80888113</v>
      </c>
      <c r="CC19" s="394">
        <v>-20.596647310000002</v>
      </c>
      <c r="CD19" s="394">
        <v>-22.228322510000002</v>
      </c>
      <c r="CE19" s="363">
        <v>-21.895422609999997</v>
      </c>
    </row>
    <row r="20" spans="1:87" s="31" customFormat="1" ht="15" x14ac:dyDescent="0.2">
      <c r="A20" s="54" t="s">
        <v>197</v>
      </c>
      <c r="B20" s="55"/>
      <c r="C20" s="56">
        <f t="shared" ref="C20:AH20" si="4">SUM(C18:C19)</f>
        <v>5.1999999999999993</v>
      </c>
      <c r="D20" s="56">
        <f t="shared" si="4"/>
        <v>5.5</v>
      </c>
      <c r="E20" s="56">
        <f t="shared" si="4"/>
        <v>7.3</v>
      </c>
      <c r="F20" s="56">
        <f t="shared" si="4"/>
        <v>9.3000000000000007</v>
      </c>
      <c r="G20" s="56">
        <f t="shared" si="4"/>
        <v>9.7999999999999989</v>
      </c>
      <c r="H20" s="56">
        <f t="shared" si="4"/>
        <v>9.6</v>
      </c>
      <c r="I20" s="56">
        <f t="shared" si="4"/>
        <v>10</v>
      </c>
      <c r="J20" s="56">
        <f t="shared" si="4"/>
        <v>10.7</v>
      </c>
      <c r="K20" s="56">
        <f t="shared" si="4"/>
        <v>10.228</v>
      </c>
      <c r="L20" s="56">
        <f t="shared" si="4"/>
        <v>10.693999999999999</v>
      </c>
      <c r="M20" s="56">
        <f t="shared" si="4"/>
        <v>11.209999999999999</v>
      </c>
      <c r="N20" s="56">
        <f t="shared" si="4"/>
        <v>13.01</v>
      </c>
      <c r="O20" s="56">
        <f t="shared" si="4"/>
        <v>15.31</v>
      </c>
      <c r="P20" s="56">
        <f t="shared" si="4"/>
        <v>14.348000000000001</v>
      </c>
      <c r="Q20" s="56">
        <f t="shared" si="4"/>
        <v>14.629</v>
      </c>
      <c r="R20" s="56">
        <f t="shared" si="4"/>
        <v>15.429</v>
      </c>
      <c r="S20" s="56">
        <f t="shared" si="4"/>
        <v>17.3</v>
      </c>
      <c r="T20" s="56">
        <f t="shared" si="4"/>
        <v>19.278000000000002</v>
      </c>
      <c r="U20" s="56">
        <f t="shared" si="4"/>
        <v>20.488</v>
      </c>
      <c r="V20" s="56">
        <f t="shared" si="4"/>
        <v>23.388000000000002</v>
      </c>
      <c r="W20" s="56">
        <f t="shared" si="4"/>
        <v>30.150000000000002</v>
      </c>
      <c r="X20" s="56">
        <f t="shared" si="4"/>
        <v>35.9</v>
      </c>
      <c r="Y20" s="56">
        <f t="shared" si="4"/>
        <v>32.954999999999998</v>
      </c>
      <c r="Z20" s="56">
        <f t="shared" si="4"/>
        <v>36.838000000000008</v>
      </c>
      <c r="AA20" s="56">
        <f t="shared" si="4"/>
        <v>40.325000000000003</v>
      </c>
      <c r="AB20" s="56">
        <f t="shared" si="4"/>
        <v>43.225000000000001</v>
      </c>
      <c r="AC20" s="58">
        <f t="shared" si="4"/>
        <v>41.090954999999994</v>
      </c>
      <c r="AD20" s="58">
        <f t="shared" si="4"/>
        <v>47.063649999999996</v>
      </c>
      <c r="AE20" s="58">
        <f t="shared" si="4"/>
        <v>49.349998999999997</v>
      </c>
      <c r="AF20" s="58">
        <f t="shared" si="4"/>
        <v>49.492620000000009</v>
      </c>
      <c r="AG20" s="58">
        <f t="shared" si="4"/>
        <v>47.541807200000001</v>
      </c>
      <c r="AH20" s="58">
        <f t="shared" si="4"/>
        <v>43.312710799999998</v>
      </c>
      <c r="AI20" s="58">
        <f t="shared" ref="AI20:AP20" si="5">SUM(AI18:AI19)</f>
        <v>33.082406999999996</v>
      </c>
      <c r="AJ20" s="56">
        <f t="shared" si="5"/>
        <v>25.577145720000001</v>
      </c>
      <c r="AK20" s="58">
        <f t="shared" si="5"/>
        <v>24.566623119999999</v>
      </c>
      <c r="AL20" s="56">
        <f t="shared" si="5"/>
        <v>27.55687314</v>
      </c>
      <c r="AM20" s="58">
        <f t="shared" si="5"/>
        <v>30.5</v>
      </c>
      <c r="AN20" s="56">
        <f t="shared" si="5"/>
        <v>32.862226</v>
      </c>
      <c r="AO20" s="56">
        <f t="shared" si="5"/>
        <v>37.250926499999998</v>
      </c>
      <c r="AP20" s="56">
        <f t="shared" si="5"/>
        <v>48.243274479999997</v>
      </c>
      <c r="AQ20" s="56">
        <f t="shared" ref="AQ20:BY20" si="6">AQ18+AQ19</f>
        <v>57.045584999999996</v>
      </c>
      <c r="AR20" s="56">
        <f t="shared" si="6"/>
        <v>61.033014000000001</v>
      </c>
      <c r="AS20" s="56">
        <f t="shared" si="6"/>
        <v>61.004090970000007</v>
      </c>
      <c r="AT20" s="56">
        <f t="shared" si="6"/>
        <v>60.306097010000002</v>
      </c>
      <c r="AU20" s="56">
        <f t="shared" si="6"/>
        <v>56.136870000000002</v>
      </c>
      <c r="AV20" s="56">
        <f t="shared" si="6"/>
        <v>55.645814000000001</v>
      </c>
      <c r="AW20" s="56">
        <f t="shared" si="6"/>
        <v>53.107746479999996</v>
      </c>
      <c r="AX20" s="56">
        <f t="shared" si="6"/>
        <v>45.444212469999997</v>
      </c>
      <c r="AY20" s="56">
        <f t="shared" si="6"/>
        <v>42.470997999999994</v>
      </c>
      <c r="AZ20" s="56">
        <f t="shared" si="6"/>
        <v>42.340778</v>
      </c>
      <c r="BA20" s="56">
        <f t="shared" si="6"/>
        <v>43.669893999999999</v>
      </c>
      <c r="BB20" s="56">
        <f t="shared" si="6"/>
        <v>46.892368000000005</v>
      </c>
      <c r="BC20" s="56">
        <f t="shared" si="6"/>
        <v>43.938091</v>
      </c>
      <c r="BD20" s="56">
        <f t="shared" si="6"/>
        <v>46.572008999999994</v>
      </c>
      <c r="BE20" s="56">
        <f t="shared" si="6"/>
        <v>39.367964000000008</v>
      </c>
      <c r="BF20" s="56">
        <f t="shared" si="6"/>
        <v>37.685873000000001</v>
      </c>
      <c r="BG20" s="56">
        <f t="shared" si="6"/>
        <v>36.076774</v>
      </c>
      <c r="BH20" s="56">
        <f t="shared" si="6"/>
        <v>29.028587000000002</v>
      </c>
      <c r="BI20" s="56">
        <f t="shared" si="6"/>
        <v>20.911382000000003</v>
      </c>
      <c r="BJ20" s="56">
        <f t="shared" si="6"/>
        <v>22.900395000000003</v>
      </c>
      <c r="BK20" s="56">
        <f t="shared" si="6"/>
        <v>22.790605999999997</v>
      </c>
      <c r="BL20" s="56">
        <f t="shared" si="6"/>
        <v>18.587533000000001</v>
      </c>
      <c r="BM20" s="56">
        <f t="shared" si="6"/>
        <v>16.707934999999999</v>
      </c>
      <c r="BN20" s="56">
        <f t="shared" si="6"/>
        <v>22.023718000000002</v>
      </c>
      <c r="BO20" s="56">
        <f t="shared" si="6"/>
        <v>20.760173000000002</v>
      </c>
      <c r="BP20" s="56">
        <f t="shared" si="6"/>
        <v>19.583669000000008</v>
      </c>
      <c r="BQ20" s="56">
        <f t="shared" si="6"/>
        <v>18.889927</v>
      </c>
      <c r="BR20" s="56">
        <f t="shared" si="6"/>
        <v>20.640588000000001</v>
      </c>
      <c r="BS20" s="56">
        <f t="shared" si="6"/>
        <v>22.673376999999999</v>
      </c>
      <c r="BT20" s="56">
        <f t="shared" si="6"/>
        <v>22.359316999999994</v>
      </c>
      <c r="BU20" s="56">
        <f t="shared" si="6"/>
        <v>24.496504999999999</v>
      </c>
      <c r="BV20" s="56">
        <f t="shared" si="6"/>
        <v>21.029736770000198</v>
      </c>
      <c r="BW20" s="56">
        <f t="shared" si="6"/>
        <v>30.276147700000003</v>
      </c>
      <c r="BX20" s="56">
        <f t="shared" si="6"/>
        <v>41.98017036999989</v>
      </c>
      <c r="BY20" s="56">
        <f t="shared" si="6"/>
        <v>44.749346469999999</v>
      </c>
      <c r="BZ20" s="56">
        <f t="shared" ref="BZ20:CE20" si="7">BZ18+BZ19</f>
        <v>48.327695049999996</v>
      </c>
      <c r="CA20" s="56">
        <f t="shared" si="7"/>
        <v>63.672363069999989</v>
      </c>
      <c r="CB20" s="56">
        <f t="shared" si="7"/>
        <v>73.420801359999984</v>
      </c>
      <c r="CC20" s="395">
        <f t="shared" si="7"/>
        <v>73.60692598</v>
      </c>
      <c r="CD20" s="395">
        <f t="shared" si="7"/>
        <v>72.616059450000009</v>
      </c>
      <c r="CE20" s="364">
        <f t="shared" si="7"/>
        <v>76.390721080000034</v>
      </c>
      <c r="CF20" s="464"/>
      <c r="CG20" s="464"/>
      <c r="CH20" s="356"/>
    </row>
    <row r="21" spans="1:87" x14ac:dyDescent="0.2">
      <c r="A21" s="47" t="s">
        <v>28</v>
      </c>
      <c r="B21" s="48"/>
      <c r="C21" s="49">
        <v>0.4</v>
      </c>
      <c r="D21" s="49">
        <v>0.3</v>
      </c>
      <c r="E21" s="49">
        <v>0.5</v>
      </c>
      <c r="F21" s="49">
        <v>0.9</v>
      </c>
      <c r="G21" s="49">
        <v>0.4</v>
      </c>
      <c r="H21" s="49">
        <v>0.6</v>
      </c>
      <c r="I21" s="49">
        <v>3.2</v>
      </c>
      <c r="J21" s="49">
        <v>0.5</v>
      </c>
      <c r="K21" s="49">
        <v>0</v>
      </c>
      <c r="L21" s="49">
        <v>0.1</v>
      </c>
      <c r="M21" s="49">
        <v>0</v>
      </c>
      <c r="N21" s="49">
        <v>0.6</v>
      </c>
      <c r="O21" s="49">
        <v>0.3</v>
      </c>
      <c r="P21" s="49">
        <v>0.1</v>
      </c>
      <c r="Q21" s="49">
        <v>0.1</v>
      </c>
      <c r="R21" s="49">
        <v>0.3</v>
      </c>
      <c r="S21" s="49">
        <v>-0.2</v>
      </c>
      <c r="T21" s="49">
        <v>0.4</v>
      </c>
      <c r="U21" s="49">
        <v>0</v>
      </c>
      <c r="V21" s="49">
        <v>0.1</v>
      </c>
      <c r="W21" s="49">
        <v>0</v>
      </c>
      <c r="X21" s="49">
        <v>0.1</v>
      </c>
      <c r="Y21" s="49">
        <v>0.1</v>
      </c>
      <c r="Z21" s="49">
        <v>0.5</v>
      </c>
      <c r="AA21" s="49">
        <v>0.2</v>
      </c>
      <c r="AB21" s="49">
        <v>0.4</v>
      </c>
      <c r="AC21" s="50">
        <v>0.11899999999999999</v>
      </c>
      <c r="AD21" s="50">
        <v>0</v>
      </c>
      <c r="AE21" s="50">
        <v>0.3</v>
      </c>
      <c r="AF21" s="50">
        <v>1</v>
      </c>
      <c r="AG21" s="50">
        <v>0</v>
      </c>
      <c r="AH21" s="50">
        <v>0</v>
      </c>
      <c r="AI21" s="50">
        <v>0.4</v>
      </c>
      <c r="AJ21" s="49">
        <v>1</v>
      </c>
      <c r="AK21" s="51">
        <v>0</v>
      </c>
      <c r="AL21" s="49">
        <v>0</v>
      </c>
      <c r="AM21" s="50">
        <v>0</v>
      </c>
      <c r="AN21" s="49">
        <v>0</v>
      </c>
      <c r="AO21" s="49">
        <v>0</v>
      </c>
      <c r="AP21" s="49">
        <v>-9</v>
      </c>
      <c r="AQ21" s="49">
        <v>0</v>
      </c>
      <c r="AR21" s="49">
        <v>0</v>
      </c>
      <c r="AS21" s="51">
        <v>0</v>
      </c>
      <c r="AT21" s="50">
        <v>1</v>
      </c>
      <c r="AU21" s="50">
        <v>0</v>
      </c>
      <c r="AV21" s="49">
        <v>0</v>
      </c>
      <c r="AW21" s="49">
        <v>-8</v>
      </c>
      <c r="AX21" s="49">
        <v>0</v>
      </c>
      <c r="AY21" s="49">
        <v>0</v>
      </c>
      <c r="AZ21" s="49">
        <v>1</v>
      </c>
      <c r="BA21" s="49">
        <v>0</v>
      </c>
      <c r="BB21" s="49">
        <v>0</v>
      </c>
      <c r="BC21" s="49">
        <v>9.5000000000000001E-2</v>
      </c>
      <c r="BD21" s="49">
        <v>-1.4999999999999999E-2</v>
      </c>
      <c r="BE21" s="49">
        <v>4.4999999999999998E-2</v>
      </c>
      <c r="BF21" s="49">
        <v>0</v>
      </c>
      <c r="BG21" s="49">
        <v>0</v>
      </c>
      <c r="BH21" s="49">
        <v>0</v>
      </c>
      <c r="BI21" s="51">
        <v>0</v>
      </c>
      <c r="BJ21" s="49">
        <v>0</v>
      </c>
      <c r="BK21" s="49">
        <v>0.4</v>
      </c>
      <c r="BL21" s="49">
        <v>2.2999999999999998</v>
      </c>
      <c r="BM21" s="49">
        <v>0.24</v>
      </c>
      <c r="BN21" s="49">
        <v>0.6</v>
      </c>
      <c r="BO21" s="49">
        <v>0</v>
      </c>
      <c r="BP21" s="51">
        <v>0.4</v>
      </c>
      <c r="BQ21" s="49">
        <v>1.78</v>
      </c>
      <c r="BR21" s="51">
        <v>0</v>
      </c>
      <c r="BS21" s="49">
        <v>0</v>
      </c>
      <c r="BT21" s="49">
        <v>0</v>
      </c>
      <c r="BU21" s="49">
        <v>0.189</v>
      </c>
      <c r="BV21" s="49">
        <v>2.02558858</v>
      </c>
      <c r="BW21" s="50">
        <v>-0.15213499000000008</v>
      </c>
      <c r="BX21" s="50">
        <v>-5.9662079999999999E-2</v>
      </c>
      <c r="BY21" s="50">
        <v>-0.22724814999999954</v>
      </c>
      <c r="BZ21" s="49">
        <v>0.91185598000000001</v>
      </c>
      <c r="CA21" s="49">
        <v>-0.29098545000000009</v>
      </c>
      <c r="CB21" s="49">
        <v>1.8308895299999997</v>
      </c>
      <c r="CC21" s="394">
        <v>1.0953586900000001</v>
      </c>
      <c r="CD21" s="394">
        <v>64.549752889999993</v>
      </c>
      <c r="CE21" s="363">
        <v>-0.64464334000000012</v>
      </c>
    </row>
    <row r="22" spans="1:87" x14ac:dyDescent="0.2">
      <c r="A22" s="13" t="s">
        <v>45</v>
      </c>
      <c r="B22" s="63"/>
      <c r="C22" s="64">
        <v>3</v>
      </c>
      <c r="D22" s="64">
        <v>0.2</v>
      </c>
      <c r="E22" s="64">
        <v>0.1</v>
      </c>
      <c r="F22" s="64">
        <v>0.2</v>
      </c>
      <c r="G22" s="64">
        <v>0.3</v>
      </c>
      <c r="H22" s="64">
        <v>0.3</v>
      </c>
      <c r="I22" s="64"/>
      <c r="J22" s="64">
        <v>0.3</v>
      </c>
      <c r="K22" s="64">
        <v>0.1</v>
      </c>
      <c r="L22" s="64">
        <v>2.4</v>
      </c>
      <c r="M22" s="64">
        <v>0</v>
      </c>
      <c r="N22" s="64">
        <v>0</v>
      </c>
      <c r="O22" s="64">
        <v>0.1</v>
      </c>
      <c r="P22" s="64">
        <v>0.2</v>
      </c>
      <c r="Q22" s="64">
        <v>0</v>
      </c>
      <c r="R22" s="64">
        <v>1.1000000000000001</v>
      </c>
      <c r="S22" s="64">
        <v>0.2</v>
      </c>
      <c r="T22" s="64">
        <v>1.7</v>
      </c>
      <c r="U22" s="64">
        <v>0.1</v>
      </c>
      <c r="V22" s="64">
        <v>0.5</v>
      </c>
      <c r="W22" s="64">
        <v>0.2</v>
      </c>
      <c r="X22" s="64">
        <v>0.5</v>
      </c>
      <c r="Y22" s="64">
        <v>0.2</v>
      </c>
      <c r="Z22" s="64">
        <v>0.7</v>
      </c>
      <c r="AA22" s="64">
        <v>0</v>
      </c>
      <c r="AB22" s="64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4">
        <v>0</v>
      </c>
      <c r="AK22" s="66">
        <v>0</v>
      </c>
      <c r="AL22" s="64">
        <v>0</v>
      </c>
      <c r="AM22" s="65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2</v>
      </c>
      <c r="AS22" s="66">
        <v>1</v>
      </c>
      <c r="AT22" s="65">
        <v>1</v>
      </c>
      <c r="AU22" s="65">
        <v>1</v>
      </c>
      <c r="AV22" s="64">
        <v>1</v>
      </c>
      <c r="AW22" s="64">
        <v>0</v>
      </c>
      <c r="AX22" s="64">
        <v>0</v>
      </c>
      <c r="AY22" s="64">
        <v>0</v>
      </c>
      <c r="AZ22" s="64">
        <v>0</v>
      </c>
      <c r="BA22" s="64">
        <v>0</v>
      </c>
      <c r="BB22" s="64">
        <v>0</v>
      </c>
      <c r="BC22" s="64">
        <v>0</v>
      </c>
      <c r="BD22" s="64">
        <v>0</v>
      </c>
      <c r="BE22" s="64">
        <v>1.9E-2</v>
      </c>
      <c r="BF22" s="64">
        <v>0</v>
      </c>
      <c r="BG22" s="64">
        <v>0</v>
      </c>
      <c r="BH22" s="64">
        <v>0</v>
      </c>
      <c r="BI22" s="66">
        <v>0</v>
      </c>
      <c r="BJ22" s="64">
        <v>0</v>
      </c>
      <c r="BK22" s="64">
        <v>0</v>
      </c>
      <c r="BL22" s="64">
        <v>0</v>
      </c>
      <c r="BM22" s="64">
        <v>0</v>
      </c>
      <c r="BN22" s="64">
        <v>0</v>
      </c>
      <c r="BO22" s="64">
        <v>0</v>
      </c>
      <c r="BP22" s="66">
        <v>0</v>
      </c>
      <c r="BQ22" s="64">
        <v>0.06</v>
      </c>
      <c r="BR22" s="66">
        <v>0</v>
      </c>
      <c r="BS22" s="64">
        <v>0</v>
      </c>
      <c r="BT22" s="64">
        <v>0</v>
      </c>
      <c r="BU22" s="64">
        <v>0</v>
      </c>
      <c r="BV22" s="64">
        <v>0.14042399999999999</v>
      </c>
      <c r="BW22" s="65">
        <v>5.5500000000000001E-2</v>
      </c>
      <c r="BX22" s="65">
        <v>-5.5500000000000001E-2</v>
      </c>
      <c r="BY22" s="65">
        <v>6.4456999999999995E-3</v>
      </c>
      <c r="BZ22" s="64">
        <v>1.964E-3</v>
      </c>
      <c r="CA22" s="64">
        <v>0</v>
      </c>
      <c r="CB22" s="64">
        <v>0</v>
      </c>
      <c r="CC22" s="396">
        <v>0</v>
      </c>
      <c r="CD22" s="64">
        <v>6.5542400000000001E-2</v>
      </c>
      <c r="CE22" s="471">
        <v>0</v>
      </c>
      <c r="CF22" s="469"/>
      <c r="CG22" s="355"/>
    </row>
    <row r="23" spans="1:87" s="31" customFormat="1" x14ac:dyDescent="0.2">
      <c r="A23" s="70" t="s">
        <v>99</v>
      </c>
      <c r="B23" s="71">
        <v>8.5</v>
      </c>
      <c r="C23" s="72">
        <f t="shared" ref="C23:AE23" si="8">SUM(C11,C12,C17,C20,C21,C22)</f>
        <v>21.599999999999998</v>
      </c>
      <c r="D23" s="73">
        <f t="shared" si="8"/>
        <v>16.5</v>
      </c>
      <c r="E23" s="73">
        <f t="shared" si="8"/>
        <v>21.6</v>
      </c>
      <c r="F23" s="73">
        <f t="shared" si="8"/>
        <v>35.200000000000003</v>
      </c>
      <c r="G23" s="73">
        <f t="shared" si="8"/>
        <v>29.7</v>
      </c>
      <c r="H23" s="73">
        <f t="shared" si="8"/>
        <v>24.6</v>
      </c>
      <c r="I23" s="73">
        <f t="shared" si="8"/>
        <v>30.2</v>
      </c>
      <c r="J23" s="73">
        <f t="shared" si="8"/>
        <v>38.099999999999994</v>
      </c>
      <c r="K23" s="73">
        <f t="shared" si="8"/>
        <v>28.928000000000004</v>
      </c>
      <c r="L23" s="73">
        <f t="shared" si="8"/>
        <v>33.494</v>
      </c>
      <c r="M23" s="73">
        <f t="shared" si="8"/>
        <v>40.71</v>
      </c>
      <c r="N23" s="73">
        <f t="shared" si="8"/>
        <v>46.41</v>
      </c>
      <c r="O23" s="73">
        <f t="shared" si="8"/>
        <v>65.41</v>
      </c>
      <c r="P23" s="73">
        <f t="shared" si="8"/>
        <v>49.348000000000006</v>
      </c>
      <c r="Q23" s="73">
        <f t="shared" si="8"/>
        <v>40.329000000000001</v>
      </c>
      <c r="R23" s="73">
        <f t="shared" si="8"/>
        <v>54.728999999999992</v>
      </c>
      <c r="S23" s="73">
        <f t="shared" si="8"/>
        <v>60.8</v>
      </c>
      <c r="T23" s="73">
        <f t="shared" si="8"/>
        <v>65.878000000000014</v>
      </c>
      <c r="U23" s="73">
        <f t="shared" si="8"/>
        <v>73.887999999999991</v>
      </c>
      <c r="V23" s="73">
        <f t="shared" si="8"/>
        <v>83.287999999999997</v>
      </c>
      <c r="W23" s="73">
        <f t="shared" si="8"/>
        <v>123.45</v>
      </c>
      <c r="X23" s="73">
        <f t="shared" si="8"/>
        <v>125.19999999999999</v>
      </c>
      <c r="Y23" s="73">
        <f t="shared" si="8"/>
        <v>86.554999999999993</v>
      </c>
      <c r="Z23" s="73">
        <f t="shared" si="8"/>
        <v>117.63800000000001</v>
      </c>
      <c r="AA23" s="73">
        <f t="shared" si="8"/>
        <v>135.32499999999999</v>
      </c>
      <c r="AB23" s="73">
        <f t="shared" si="8"/>
        <v>138.52500000000001</v>
      </c>
      <c r="AC23" s="74">
        <f t="shared" si="8"/>
        <v>130.50995499999999</v>
      </c>
      <c r="AD23" s="75">
        <f t="shared" si="8"/>
        <v>150.11365000000001</v>
      </c>
      <c r="AE23" s="75">
        <f t="shared" si="8"/>
        <v>136.34999900000003</v>
      </c>
      <c r="AF23" s="75">
        <f>SUM(AF11,AF12,AF17,AF20,AF21,AF22)-0.2</f>
        <v>129.50262000000001</v>
      </c>
      <c r="AG23" s="75">
        <f t="shared" ref="AG23:BI23" si="9">SUM(AG11,AG12,AG17,AG20,AG21,AG22)</f>
        <v>116.54180719999999</v>
      </c>
      <c r="AH23" s="75">
        <f t="shared" si="9"/>
        <v>123.51271080000001</v>
      </c>
      <c r="AI23" s="75">
        <f t="shared" si="9"/>
        <v>107.68240699999998</v>
      </c>
      <c r="AJ23" s="72">
        <f t="shared" si="9"/>
        <v>131.57714572</v>
      </c>
      <c r="AK23" s="75">
        <f t="shared" si="9"/>
        <v>126.56662312</v>
      </c>
      <c r="AL23" s="72">
        <f t="shared" si="9"/>
        <v>143.05687313999999</v>
      </c>
      <c r="AM23" s="75">
        <f t="shared" si="9"/>
        <v>152.5</v>
      </c>
      <c r="AN23" s="72">
        <f t="shared" si="9"/>
        <v>158.86222599999999</v>
      </c>
      <c r="AO23" s="72">
        <f t="shared" si="9"/>
        <v>136.25092649999999</v>
      </c>
      <c r="AP23" s="72">
        <f t="shared" si="9"/>
        <v>165.14327448</v>
      </c>
      <c r="AQ23" s="72">
        <f>SUM(AQ11,AQ12,AQ17,AQ20,AQ21,AQ22)</f>
        <v>180.06100000000001</v>
      </c>
      <c r="AR23" s="72">
        <f t="shared" si="9"/>
        <v>168.81100000000001</v>
      </c>
      <c r="AS23" s="72">
        <f t="shared" si="9"/>
        <v>178.98798997</v>
      </c>
      <c r="AT23" s="72">
        <f t="shared" si="9"/>
        <v>154.32822901</v>
      </c>
      <c r="AU23" s="74">
        <f t="shared" si="9"/>
        <v>161.09</v>
      </c>
      <c r="AV23" s="72">
        <f t="shared" si="9"/>
        <v>138.55000000000001</v>
      </c>
      <c r="AW23" s="72">
        <f t="shared" si="9"/>
        <v>122.41512348000001</v>
      </c>
      <c r="AX23" s="72">
        <f t="shared" si="9"/>
        <v>128.59094146999999</v>
      </c>
      <c r="AY23" s="72">
        <f t="shared" si="9"/>
        <v>145.09300000000002</v>
      </c>
      <c r="AZ23" s="72">
        <f t="shared" si="9"/>
        <v>132.52500000000001</v>
      </c>
      <c r="BA23" s="72">
        <f t="shared" si="9"/>
        <v>144.81363999999999</v>
      </c>
      <c r="BB23" s="72">
        <f t="shared" si="9"/>
        <v>157.82192700000002</v>
      </c>
      <c r="BC23" s="72">
        <f t="shared" si="9"/>
        <v>168.19500000000002</v>
      </c>
      <c r="BD23" s="72">
        <f t="shared" si="9"/>
        <v>160.28500000000003</v>
      </c>
      <c r="BE23" s="72">
        <f t="shared" si="9"/>
        <v>161.63399999999999</v>
      </c>
      <c r="BF23" s="72">
        <f t="shared" si="9"/>
        <v>187.89999999999998</v>
      </c>
      <c r="BG23" s="72">
        <f t="shared" si="9"/>
        <v>218.9</v>
      </c>
      <c r="BH23" s="72">
        <f>SUM(BH11,BH12,BH17,BH20,BH21,BH22)</f>
        <v>225.7</v>
      </c>
      <c r="BI23" s="76">
        <f t="shared" si="9"/>
        <v>201.18213200000002</v>
      </c>
      <c r="BJ23" s="73">
        <v>250</v>
      </c>
      <c r="BK23" s="73">
        <f>SUM(BK11,BK12,BK17,BK20,BK21,BK22)</f>
        <v>224.06</v>
      </c>
      <c r="BL23" s="73">
        <f>SUM(BL11,BL12,BL17,BL20,BL21,BL22)</f>
        <v>220.60000000000002</v>
      </c>
      <c r="BM23" s="73">
        <f>SUM(BM11,BM12,BM17,BM20,BM21,BM22)</f>
        <v>218.64600000000002</v>
      </c>
      <c r="BN23" s="73">
        <v>245.2</v>
      </c>
      <c r="BO23" s="73">
        <f>246.7-2.253</f>
        <v>244.447</v>
      </c>
      <c r="BP23" s="77">
        <v>233.55</v>
      </c>
      <c r="BQ23" s="73">
        <v>226.66899999999998</v>
      </c>
      <c r="BR23" s="77">
        <v>270.79000000000002</v>
      </c>
      <c r="BS23" s="73">
        <v>271.31200000000001</v>
      </c>
      <c r="BT23" s="73">
        <v>243.68398517</v>
      </c>
      <c r="BU23" s="73">
        <f t="shared" ref="BU23:BZ23" si="10">SUM(BU11:BU12,BU17,BU20:BU22)</f>
        <v>267.09000000000003</v>
      </c>
      <c r="BV23" s="73">
        <f t="shared" si="10"/>
        <v>266.91209251000021</v>
      </c>
      <c r="BW23" s="76">
        <f t="shared" si="10"/>
        <v>267.652359422676</v>
      </c>
      <c r="BX23" s="76">
        <f t="shared" si="10"/>
        <v>284.04352372177732</v>
      </c>
      <c r="BY23" s="76">
        <f t="shared" si="10"/>
        <v>313.02919101357514</v>
      </c>
      <c r="BZ23" s="73">
        <f t="shared" si="10"/>
        <v>328.66936087197121</v>
      </c>
      <c r="CA23" s="73">
        <f>SUM(CA11:CA12,CA17,CA20:CA22)</f>
        <v>541.65498074608479</v>
      </c>
      <c r="CB23" s="73">
        <f>SUM(CB11:CB12,CB17,CB20:CB22)</f>
        <v>525.64418221304436</v>
      </c>
      <c r="CC23" s="397">
        <f>SUM(CC11:CC12,CC17,CC20:CC22)</f>
        <v>575.400409333879</v>
      </c>
      <c r="CD23" s="397">
        <f>SUM(CD11:CD12,CD17,CD20:CD22)</f>
        <v>706.05166831428812</v>
      </c>
      <c r="CE23" s="435">
        <f>SUM(CE11:CE12,CE17,CE20:CE22)</f>
        <v>956.74708005237233</v>
      </c>
      <c r="CF23" s="122"/>
      <c r="CG23"/>
      <c r="CH23"/>
      <c r="CI23" s="271"/>
    </row>
    <row r="24" spans="1:87" x14ac:dyDescent="0.2">
      <c r="A24" s="11"/>
      <c r="B24" s="1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3"/>
      <c r="AD24" s="33"/>
      <c r="AE24" s="33"/>
      <c r="AF24" s="33"/>
      <c r="AG24" s="33"/>
      <c r="AH24" s="33"/>
      <c r="AI24" s="33"/>
      <c r="AJ24" s="32"/>
      <c r="AK24" s="7"/>
      <c r="AL24" s="32"/>
      <c r="AM24" s="33"/>
      <c r="AN24" s="32"/>
      <c r="AO24" s="32"/>
      <c r="AP24" s="32"/>
      <c r="AQ24" s="32"/>
      <c r="AR24" s="32"/>
      <c r="AS24" s="7"/>
      <c r="AT24" s="33"/>
      <c r="AU24" s="33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6"/>
      <c r="BK24" s="36"/>
      <c r="BL24" s="36"/>
      <c r="BM24" s="36"/>
      <c r="BN24" s="32"/>
      <c r="BO24" s="32"/>
      <c r="BP24" s="7"/>
      <c r="BQ24" s="32"/>
      <c r="BR24" s="7"/>
      <c r="BS24" s="32"/>
      <c r="BT24" s="32"/>
      <c r="BU24" s="32"/>
      <c r="BV24" s="32"/>
      <c r="BW24" s="33"/>
      <c r="BX24" s="33"/>
      <c r="BY24" s="33"/>
      <c r="BZ24" s="32"/>
      <c r="CA24" s="32"/>
      <c r="CB24" s="32"/>
      <c r="CC24" s="392"/>
      <c r="CD24" s="392"/>
      <c r="CE24" s="361"/>
    </row>
    <row r="25" spans="1:87" x14ac:dyDescent="0.2">
      <c r="A25" s="39" t="s">
        <v>140</v>
      </c>
      <c r="B25" s="258"/>
      <c r="C25" s="41">
        <v>-9.4553999999999991</v>
      </c>
      <c r="D25" s="41">
        <v>-8.218</v>
      </c>
      <c r="E25" s="41">
        <v>-8.7260000000000009</v>
      </c>
      <c r="F25" s="41">
        <v>-10.653</v>
      </c>
      <c r="G25" s="41">
        <v>-9.8759999999999994</v>
      </c>
      <c r="H25" s="41">
        <v>-9.1170000000000009</v>
      </c>
      <c r="I25" s="41">
        <v>-8.5009999999999994</v>
      </c>
      <c r="J25" s="41">
        <v>-10.151999999999999</v>
      </c>
      <c r="K25" s="41">
        <v>-10.052</v>
      </c>
      <c r="L25" s="41">
        <v>-9.4930000000000003</v>
      </c>
      <c r="M25" s="41">
        <v>-10.042</v>
      </c>
      <c r="N25" s="41">
        <v>-11.561</v>
      </c>
      <c r="O25" s="41">
        <v>-13.148</v>
      </c>
      <c r="P25" s="41">
        <v>-12.519</v>
      </c>
      <c r="Q25" s="41">
        <v>-10.627000000000001</v>
      </c>
      <c r="R25" s="41">
        <v>-11.394</v>
      </c>
      <c r="S25" s="41">
        <v>-13.106</v>
      </c>
      <c r="T25" s="41">
        <v>-15.670999999999999</v>
      </c>
      <c r="U25" s="41">
        <v>-14.82</v>
      </c>
      <c r="V25" s="41">
        <v>-15.315</v>
      </c>
      <c r="W25" s="41">
        <v>-23.504000000000001</v>
      </c>
      <c r="X25" s="41">
        <v>-24.283999999999999</v>
      </c>
      <c r="Y25" s="41">
        <v>-20.946000000000002</v>
      </c>
      <c r="Z25" s="41">
        <v>-27.225999999999999</v>
      </c>
      <c r="AA25" s="41">
        <v>-24.936345490000001</v>
      </c>
      <c r="AB25" s="41">
        <v>-31.730077229999996</v>
      </c>
      <c r="AC25" s="42">
        <v>-28.836217210000001</v>
      </c>
      <c r="AD25" s="42">
        <v>-33.936358859999999</v>
      </c>
      <c r="AE25" s="42">
        <v>-34.967885020000004</v>
      </c>
      <c r="AF25" s="42">
        <v>-39.156512759999998</v>
      </c>
      <c r="AG25" s="42">
        <v>-28.859226390000003</v>
      </c>
      <c r="AH25" s="42">
        <v>-34.501329899999995</v>
      </c>
      <c r="AI25" s="42">
        <v>-32.167816689999995</v>
      </c>
      <c r="AJ25" s="41">
        <v>-33.367163339999998</v>
      </c>
      <c r="AK25" s="43">
        <v>-26.951742070000002</v>
      </c>
      <c r="AL25" s="41">
        <v>-35.693997289999999</v>
      </c>
      <c r="AM25" s="42">
        <v>-37.78903369999999</v>
      </c>
      <c r="AN25" s="41">
        <v>-45.458932650000001</v>
      </c>
      <c r="AO25" s="41">
        <v>-36.273918429999995</v>
      </c>
      <c r="AP25" s="41">
        <v>-45.709419279999992</v>
      </c>
      <c r="AQ25" s="41">
        <v>-45.166457530000002</v>
      </c>
      <c r="AR25" s="41">
        <v>-50.787959459999996</v>
      </c>
      <c r="AS25" s="43">
        <v>-41.058650970000002</v>
      </c>
      <c r="AT25" s="42">
        <v>-51.767799359999998</v>
      </c>
      <c r="AU25" s="42">
        <v>-50.617339569999999</v>
      </c>
      <c r="AV25" s="41">
        <v>-55.452240249999988</v>
      </c>
      <c r="AW25" s="41">
        <v>-48.076709770000001</v>
      </c>
      <c r="AX25" s="41">
        <v>-52.757292109999995</v>
      </c>
      <c r="AY25" s="41">
        <v>-52.31</v>
      </c>
      <c r="AZ25" s="41">
        <v>-58.06</v>
      </c>
      <c r="BA25" s="41">
        <v>-43.44</v>
      </c>
      <c r="BB25" s="41">
        <v>-56.49</v>
      </c>
      <c r="BC25" s="41">
        <v>-57.85</v>
      </c>
      <c r="BD25" s="41">
        <v>-58.24</v>
      </c>
      <c r="BE25" s="41">
        <v>-50.74</v>
      </c>
      <c r="BF25" s="41">
        <v>-66.989999999999995</v>
      </c>
      <c r="BG25" s="41">
        <v>-64.319999999999993</v>
      </c>
      <c r="BH25" s="41">
        <v>-68.56</v>
      </c>
      <c r="BI25" s="265">
        <v>-58.29</v>
      </c>
      <c r="BJ25" s="36">
        <v>-75.010000000000005</v>
      </c>
      <c r="BK25" s="36">
        <v>-72.23</v>
      </c>
      <c r="BL25" s="36">
        <v>-73.62</v>
      </c>
      <c r="BM25" s="36">
        <v>-61.55</v>
      </c>
      <c r="BN25" s="32">
        <v>-83.05</v>
      </c>
      <c r="BO25" s="32">
        <v>-81.5</v>
      </c>
      <c r="BP25" s="7">
        <v>-86.71</v>
      </c>
      <c r="BQ25" s="32">
        <v>-73.52</v>
      </c>
      <c r="BR25" s="7">
        <v>-98.35</v>
      </c>
      <c r="BS25" s="32">
        <v>-90.43</v>
      </c>
      <c r="BT25" s="32">
        <v>-97.43</v>
      </c>
      <c r="BU25" s="32">
        <v>-82.713045910000005</v>
      </c>
      <c r="BV25" s="32">
        <v>-96.774449169999798</v>
      </c>
      <c r="BW25" s="33">
        <v>-102.69327952</v>
      </c>
      <c r="BX25" s="33">
        <v>-106.974156024796</v>
      </c>
      <c r="BY25" s="33">
        <v>-90.258016374796</v>
      </c>
      <c r="BZ25" s="32">
        <v>-114.530115964796</v>
      </c>
      <c r="CA25" s="32">
        <v>-111.201153415612</v>
      </c>
      <c r="CB25" s="32">
        <v>-120.151849935299</v>
      </c>
      <c r="CC25" s="392">
        <v>-102.78370459461037</v>
      </c>
      <c r="CD25" s="392">
        <v>-134.59832333461031</v>
      </c>
      <c r="CE25" s="361">
        <v>-136.68990085461039</v>
      </c>
    </row>
    <row r="26" spans="1:87" x14ac:dyDescent="0.2">
      <c r="A26" s="39" t="s">
        <v>141</v>
      </c>
      <c r="B26" s="258"/>
      <c r="C26" s="41">
        <v>-1.2054</v>
      </c>
      <c r="D26" s="41">
        <v>-0.44500000000000001</v>
      </c>
      <c r="E26" s="41">
        <v>-0.57099999999999995</v>
      </c>
      <c r="F26" s="41">
        <v>-0.77</v>
      </c>
      <c r="G26" s="41">
        <v>-1.6619999999999999</v>
      </c>
      <c r="H26" s="41">
        <v>-1.3460000000000001</v>
      </c>
      <c r="I26" s="41">
        <v>-0.78600000000000003</v>
      </c>
      <c r="J26" s="41">
        <v>-1.448</v>
      </c>
      <c r="K26" s="41">
        <v>-0.68100000000000005</v>
      </c>
      <c r="L26" s="41">
        <v>-1.234</v>
      </c>
      <c r="M26" s="41">
        <v>-1.1830000000000001</v>
      </c>
      <c r="N26" s="41">
        <v>-2.407</v>
      </c>
      <c r="O26" s="41">
        <v>-1.52</v>
      </c>
      <c r="P26" s="41">
        <v>-1.345</v>
      </c>
      <c r="Q26" s="41">
        <v>-1.2749999999999999</v>
      </c>
      <c r="R26" s="41">
        <v>-5.9370000000000003</v>
      </c>
      <c r="S26" s="41">
        <v>-4.6630000000000003</v>
      </c>
      <c r="T26" s="41">
        <v>-3.984</v>
      </c>
      <c r="U26" s="41">
        <v>-2.1349999999999998</v>
      </c>
      <c r="V26" s="41">
        <v>-8.6379999999999999</v>
      </c>
      <c r="W26" s="41">
        <v>-6.5579999999999998</v>
      </c>
      <c r="X26" s="41">
        <v>-19.253</v>
      </c>
      <c r="Y26" s="41">
        <v>-3.9009999999999998</v>
      </c>
      <c r="Z26" s="41">
        <v>-13.025</v>
      </c>
      <c r="AA26" s="41">
        <v>-13.959121</v>
      </c>
      <c r="AB26" s="41">
        <v>-12.994894209999998</v>
      </c>
      <c r="AC26" s="42">
        <v>-8.8348889509999999</v>
      </c>
      <c r="AD26" s="42">
        <v>-13.610128000000001</v>
      </c>
      <c r="AE26" s="42">
        <v>-8.715088660000001</v>
      </c>
      <c r="AF26" s="42">
        <v>-8.5182092300000001</v>
      </c>
      <c r="AG26" s="42">
        <v>-4.2506760299999993</v>
      </c>
      <c r="AH26" s="42">
        <v>-9.7100998600000015</v>
      </c>
      <c r="AI26" s="42">
        <v>-3.7660376000000002</v>
      </c>
      <c r="AJ26" s="41">
        <v>-5.0135777400000006</v>
      </c>
      <c r="AK26" s="43">
        <v>-3.4405123899999999</v>
      </c>
      <c r="AL26" s="41">
        <v>-10.025521029999998</v>
      </c>
      <c r="AM26" s="42">
        <v>-4.5175557900000003</v>
      </c>
      <c r="AN26" s="41">
        <v>-6.1358294000000004</v>
      </c>
      <c r="AO26" s="41">
        <v>-3.1684481500000001</v>
      </c>
      <c r="AP26" s="41">
        <v>-9.5221199300000006</v>
      </c>
      <c r="AQ26" s="41">
        <v>-5.5154744299999994</v>
      </c>
      <c r="AR26" s="41">
        <v>-5.4550141199999995</v>
      </c>
      <c r="AS26" s="43">
        <v>-4.8543198400000005</v>
      </c>
      <c r="AT26" s="42">
        <v>-7.3775972699999999</v>
      </c>
      <c r="AU26" s="42">
        <v>-8.33672374</v>
      </c>
      <c r="AV26" s="41">
        <v>-4.2277786200000005</v>
      </c>
      <c r="AW26" s="41">
        <v>-2.4781237599999999</v>
      </c>
      <c r="AX26" s="41">
        <v>-5.9352575099999996</v>
      </c>
      <c r="AY26" s="41">
        <v>-4.08</v>
      </c>
      <c r="AZ26" s="41">
        <v>-4.16</v>
      </c>
      <c r="BA26" s="41">
        <v>-0.05</v>
      </c>
      <c r="BB26" s="41">
        <v>-6.72</v>
      </c>
      <c r="BC26" s="41">
        <v>-3.59</v>
      </c>
      <c r="BD26" s="41">
        <v>-4.91</v>
      </c>
      <c r="BE26" s="41">
        <v>-3.65</v>
      </c>
      <c r="BF26" s="41">
        <v>-7.42</v>
      </c>
      <c r="BG26" s="41">
        <v>-6.88</v>
      </c>
      <c r="BH26" s="41">
        <v>-3.71</v>
      </c>
      <c r="BI26" s="84">
        <v>-3.81</v>
      </c>
      <c r="BJ26" s="52">
        <v>-3.85</v>
      </c>
      <c r="BK26" s="52">
        <v>-4.8899999999999997</v>
      </c>
      <c r="BL26" s="52">
        <v>-3.99</v>
      </c>
      <c r="BM26" s="52">
        <v>-3.57</v>
      </c>
      <c r="BN26" s="49">
        <v>-9.2100000000000009</v>
      </c>
      <c r="BO26" s="49">
        <v>-4.4400000000000004</v>
      </c>
      <c r="BP26" s="51">
        <v>-2.35</v>
      </c>
      <c r="BQ26" s="49">
        <v>-3.64</v>
      </c>
      <c r="BR26" s="51">
        <v>-7.88</v>
      </c>
      <c r="BS26" s="49">
        <v>-4.9000000000000004</v>
      </c>
      <c r="BT26" s="49">
        <v>-3.22</v>
      </c>
      <c r="BU26" s="49">
        <v>-4.9390719500000007</v>
      </c>
      <c r="BV26" s="49">
        <v>-3.7968907399999998</v>
      </c>
      <c r="BW26" s="50">
        <v>-8.0003054800000015</v>
      </c>
      <c r="BX26" s="50">
        <v>-3.4519545900000002</v>
      </c>
      <c r="BY26" s="50">
        <v>-4.4543840000000001</v>
      </c>
      <c r="BZ26" s="49">
        <v>-2.6801876299999998</v>
      </c>
      <c r="CA26" s="49">
        <v>-7.9143789500000006</v>
      </c>
      <c r="CB26" s="49">
        <v>-2.2989963399999995</v>
      </c>
      <c r="CC26" s="394">
        <v>-6.7755518700000001</v>
      </c>
      <c r="CD26" s="394">
        <v>-4.8258804</v>
      </c>
      <c r="CE26" s="363">
        <v>-9.3247276600000006</v>
      </c>
    </row>
    <row r="27" spans="1:87" x14ac:dyDescent="0.2">
      <c r="A27" s="47" t="s">
        <v>31</v>
      </c>
      <c r="B27" s="259"/>
      <c r="C27" s="49">
        <v>-1.2890999999999999</v>
      </c>
      <c r="D27" s="49">
        <v>-1.3089999999999999</v>
      </c>
      <c r="E27" s="49">
        <v>-2.2269999999999999</v>
      </c>
      <c r="F27" s="49">
        <v>-2.802</v>
      </c>
      <c r="G27" s="49">
        <v>-2.7850000000000001</v>
      </c>
      <c r="H27" s="49">
        <v>-2.7360000000000002</v>
      </c>
      <c r="I27" s="49">
        <v>-2.7549999999999999</v>
      </c>
      <c r="J27" s="49">
        <v>-2.7130000000000001</v>
      </c>
      <c r="K27" s="49">
        <v>-1.968</v>
      </c>
      <c r="L27" s="49">
        <v>-1.393</v>
      </c>
      <c r="M27" s="49">
        <v>-1.222</v>
      </c>
      <c r="N27" s="49">
        <v>-1.1819999999999999</v>
      </c>
      <c r="O27" s="49">
        <v>-0.88100000000000001</v>
      </c>
      <c r="P27" s="49">
        <v>-0.92500000000000004</v>
      </c>
      <c r="Q27" s="49">
        <v>-1.2210000000000001</v>
      </c>
      <c r="R27" s="49">
        <v>-1.385</v>
      </c>
      <c r="S27" s="49">
        <v>-1.4670000000000001</v>
      </c>
      <c r="T27" s="49">
        <v>-1.538</v>
      </c>
      <c r="U27" s="49">
        <v>-1.573</v>
      </c>
      <c r="V27" s="49">
        <v>-1.73</v>
      </c>
      <c r="W27" s="49">
        <v>-1.8280000000000001</v>
      </c>
      <c r="X27" s="49">
        <v>-2.0640000000000001</v>
      </c>
      <c r="Y27" s="49">
        <v>-2.1309999999999998</v>
      </c>
      <c r="Z27" s="49">
        <v>-2.1469999999999998</v>
      </c>
      <c r="AA27" s="49">
        <v>-2.2377362999999999</v>
      </c>
      <c r="AB27" s="49">
        <v>-2.4655612899999997</v>
      </c>
      <c r="AC27" s="50">
        <v>-2.5977095000000001</v>
      </c>
      <c r="AD27" s="50">
        <v>-2.4160367100000002</v>
      </c>
      <c r="AE27" s="50">
        <v>-2.9302529999999996</v>
      </c>
      <c r="AF27" s="50">
        <v>-3.2562529999999996</v>
      </c>
      <c r="AG27" s="50">
        <v>-3.2027529999999995</v>
      </c>
      <c r="AH27" s="50">
        <v>-2.9482544035</v>
      </c>
      <c r="AI27" s="50">
        <v>-2.3620192458330003</v>
      </c>
      <c r="AJ27" s="49">
        <v>-2.1827620525000002</v>
      </c>
      <c r="AK27" s="51">
        <v>-1.9466840599999999</v>
      </c>
      <c r="AL27" s="49">
        <v>-1.6257522499999999</v>
      </c>
      <c r="AM27" s="50">
        <v>-2.5344484499999997</v>
      </c>
      <c r="AN27" s="49">
        <v>-2.6600297300000002</v>
      </c>
      <c r="AO27" s="49">
        <v>-2.951571659107</v>
      </c>
      <c r="AP27" s="49">
        <v>-3.01854741</v>
      </c>
      <c r="AQ27" s="49">
        <v>-2.1504830400000001</v>
      </c>
      <c r="AR27" s="49">
        <v>-2.5023757500000001</v>
      </c>
      <c r="AS27" s="51">
        <v>-3.3376217000000001</v>
      </c>
      <c r="AT27" s="50">
        <v>-3.3182782500000001</v>
      </c>
      <c r="AU27" s="50">
        <v>-3.3078340699999997</v>
      </c>
      <c r="AV27" s="49">
        <v>-3.24950136</v>
      </c>
      <c r="AW27" s="49">
        <v>-3.2588243800000001</v>
      </c>
      <c r="AX27" s="49">
        <v>-3.2268160699999999</v>
      </c>
      <c r="AY27" s="49">
        <v>-3.02</v>
      </c>
      <c r="AZ27" s="49">
        <v>-2.63</v>
      </c>
      <c r="BA27" s="49">
        <v>-2.2999999999999998</v>
      </c>
      <c r="BB27" s="49">
        <v>-2.16</v>
      </c>
      <c r="BC27" s="49">
        <v>-2.09</v>
      </c>
      <c r="BD27" s="49">
        <v>-1.82</v>
      </c>
      <c r="BE27" s="49">
        <v>-1.91</v>
      </c>
      <c r="BF27" s="49">
        <v>-1.64</v>
      </c>
      <c r="BG27" s="49">
        <v>-1.93</v>
      </c>
      <c r="BH27" s="49">
        <v>-2.0299999999999998</v>
      </c>
      <c r="BI27" s="84">
        <v>-2.08</v>
      </c>
      <c r="BJ27" s="52">
        <v>-2.1800000000000002</v>
      </c>
      <c r="BK27" s="52">
        <v>-2.3199999999999998</v>
      </c>
      <c r="BL27" s="52">
        <v>-1.97</v>
      </c>
      <c r="BM27" s="52">
        <v>-1.82</v>
      </c>
      <c r="BN27" s="49">
        <v>-1.95</v>
      </c>
      <c r="BO27" s="49">
        <v>-1.97</v>
      </c>
      <c r="BP27" s="51">
        <v>-2.04</v>
      </c>
      <c r="BQ27" s="49">
        <v>-5.12</v>
      </c>
      <c r="BR27" s="51">
        <v>-2.98</v>
      </c>
      <c r="BS27" s="49">
        <v>-4.71</v>
      </c>
      <c r="BT27" s="49">
        <v>-4.84</v>
      </c>
      <c r="BU27" s="49">
        <v>-4.9312829600000168</v>
      </c>
      <c r="BV27" s="49">
        <v>-5.1745254200000099</v>
      </c>
      <c r="BW27" s="50">
        <v>-13.607147269999999</v>
      </c>
      <c r="BX27" s="50">
        <v>-13.67679959</v>
      </c>
      <c r="BY27" s="50">
        <v>-13.597490029999982</v>
      </c>
      <c r="BZ27" s="49">
        <v>-22.243801259999898</v>
      </c>
      <c r="CA27" s="49">
        <v>-14.416619379999998</v>
      </c>
      <c r="CB27" s="49">
        <v>-16.65098084000001</v>
      </c>
      <c r="CC27" s="394">
        <v>-19.10120796</v>
      </c>
      <c r="CD27" s="394">
        <v>-34.020662540000011</v>
      </c>
      <c r="CE27" s="363">
        <v>-16.981514320000027</v>
      </c>
    </row>
    <row r="28" spans="1:87" x14ac:dyDescent="0.2">
      <c r="A28" s="85" t="s">
        <v>142</v>
      </c>
      <c r="B28" s="264"/>
      <c r="C28" s="68">
        <v>-10.619399999999999</v>
      </c>
      <c r="D28" s="68">
        <v>-8.6910000000000007</v>
      </c>
      <c r="E28" s="68">
        <v>-9.0950000000000006</v>
      </c>
      <c r="F28" s="68">
        <v>-9.4309999999999992</v>
      </c>
      <c r="G28" s="68">
        <v>-12.93</v>
      </c>
      <c r="H28" s="68">
        <v>-10.696999999999999</v>
      </c>
      <c r="I28" s="68">
        <v>-9.9710000000000001</v>
      </c>
      <c r="J28" s="68">
        <v>-8.1489999999999991</v>
      </c>
      <c r="K28" s="68">
        <v>-10.156000000000001</v>
      </c>
      <c r="L28" s="68">
        <v>-9.1440000000000001</v>
      </c>
      <c r="M28" s="68">
        <v>-8.3469999999999995</v>
      </c>
      <c r="N28" s="68">
        <v>-10.602</v>
      </c>
      <c r="O28" s="68">
        <v>-12.125999999999999</v>
      </c>
      <c r="P28" s="68">
        <v>-10.391999999999999</v>
      </c>
      <c r="Q28" s="68">
        <v>-10.487</v>
      </c>
      <c r="R28" s="68">
        <v>-13.496</v>
      </c>
      <c r="S28" s="68">
        <v>-13.998999999999999</v>
      </c>
      <c r="T28" s="68">
        <v>-13.444999999999999</v>
      </c>
      <c r="U28" s="68">
        <v>-12.101999999999999</v>
      </c>
      <c r="V28" s="68">
        <v>-13.048</v>
      </c>
      <c r="W28" s="68">
        <v>-15.643000000000001</v>
      </c>
      <c r="X28" s="68">
        <v>-17.521000000000001</v>
      </c>
      <c r="Y28" s="68">
        <v>-13.163</v>
      </c>
      <c r="Z28" s="68">
        <v>-15.782</v>
      </c>
      <c r="AA28" s="68">
        <v>-17.098485050000001</v>
      </c>
      <c r="AB28" s="68">
        <v>-17.648598230000005</v>
      </c>
      <c r="AC28" s="86">
        <v>-14.450039440000001</v>
      </c>
      <c r="AD28" s="86">
        <v>-18.869346570000001</v>
      </c>
      <c r="AE28" s="86">
        <v>-20.923743119999997</v>
      </c>
      <c r="AF28" s="86">
        <v>-19.459680469999999</v>
      </c>
      <c r="AG28" s="86">
        <v>-18.89468798</v>
      </c>
      <c r="AH28" s="86">
        <v>-26.3158727</v>
      </c>
      <c r="AI28" s="86">
        <v>-15.990159869999999</v>
      </c>
      <c r="AJ28" s="68">
        <v>-18.962025559999997</v>
      </c>
      <c r="AK28" s="87">
        <v>-17.587366170000003</v>
      </c>
      <c r="AL28" s="68">
        <v>-17.799392059999999</v>
      </c>
      <c r="AM28" s="86">
        <v>-18.573356230000005</v>
      </c>
      <c r="AN28" s="68">
        <v>-22.077792730000002</v>
      </c>
      <c r="AO28" s="68">
        <v>-20.20397569</v>
      </c>
      <c r="AP28" s="68">
        <v>-21.958215950000003</v>
      </c>
      <c r="AQ28" s="68">
        <v>-21.056616979999998</v>
      </c>
      <c r="AR28" s="68">
        <v>-35.669498160000003</v>
      </c>
      <c r="AS28" s="87">
        <v>-26.935010719999994</v>
      </c>
      <c r="AT28" s="86">
        <v>-29.562849320000002</v>
      </c>
      <c r="AU28" s="86">
        <v>-26.609023619999999</v>
      </c>
      <c r="AV28" s="68">
        <v>-27.006883284285998</v>
      </c>
      <c r="AW28" s="68">
        <v>-25.982427078574997</v>
      </c>
      <c r="AX28" s="68">
        <v>-29.159144696875003</v>
      </c>
      <c r="AY28" s="68">
        <v>-32.159999999999997</v>
      </c>
      <c r="AZ28" s="68">
        <v>-31.76</v>
      </c>
      <c r="BA28" s="68">
        <v>-26.37</v>
      </c>
      <c r="BB28" s="68">
        <v>-27.23</v>
      </c>
      <c r="BC28" s="68">
        <v>-28.61</v>
      </c>
      <c r="BD28" s="68">
        <v>-28.3</v>
      </c>
      <c r="BE28" s="68">
        <v>-34.26</v>
      </c>
      <c r="BF28" s="68">
        <v>-30.72</v>
      </c>
      <c r="BG28" s="68">
        <v>-31.23</v>
      </c>
      <c r="BH28" s="68">
        <v>-29.56</v>
      </c>
      <c r="BI28" s="68">
        <v>-28.71</v>
      </c>
      <c r="BJ28" s="88">
        <v>-28.86</v>
      </c>
      <c r="BK28" s="88">
        <v>-30</v>
      </c>
      <c r="BL28" s="88">
        <v>-29.7</v>
      </c>
      <c r="BM28" s="88">
        <v>-29.4</v>
      </c>
      <c r="BN28" s="68">
        <v>-33.979999999999997</v>
      </c>
      <c r="BO28" s="68">
        <v>-36.18</v>
      </c>
      <c r="BP28" s="87">
        <v>-39.409999999999997</v>
      </c>
      <c r="BQ28" s="68">
        <v>-40.700000000000003</v>
      </c>
      <c r="BR28" s="87">
        <v>-48.06</v>
      </c>
      <c r="BS28" s="68">
        <v>-52.11</v>
      </c>
      <c r="BT28" s="68">
        <v>-47.57</v>
      </c>
      <c r="BU28" s="68">
        <v>-41.972759501338601</v>
      </c>
      <c r="BV28" s="68">
        <f>-48.7882061959564-35</f>
        <v>-83.788206195956406</v>
      </c>
      <c r="BW28" s="86">
        <v>-39.940693621883</v>
      </c>
      <c r="BX28" s="86">
        <v>-41.693411318636898</v>
      </c>
      <c r="BY28" s="86">
        <v>-40.099704216201197</v>
      </c>
      <c r="BZ28" s="68">
        <v>-47.620648415337499</v>
      </c>
      <c r="CA28" s="68">
        <v>-45.357766575627899</v>
      </c>
      <c r="CB28" s="68">
        <v>-46.285201788672204</v>
      </c>
      <c r="CC28" s="398">
        <v>-48.528738403329569</v>
      </c>
      <c r="CD28" s="398">
        <v>-47.681831851392104</v>
      </c>
      <c r="CE28" s="366">
        <v>-39.444136012636108</v>
      </c>
    </row>
    <row r="29" spans="1:87" s="31" customFormat="1" ht="15" x14ac:dyDescent="0.2">
      <c r="A29" s="70" t="s">
        <v>194</v>
      </c>
      <c r="B29" s="71"/>
      <c r="C29" s="72">
        <f t="shared" ref="C29:AH29" si="11">SUM(C25:C28)</f>
        <v>-22.569299999999998</v>
      </c>
      <c r="D29" s="72">
        <f t="shared" si="11"/>
        <v>-18.663</v>
      </c>
      <c r="E29" s="72">
        <f t="shared" si="11"/>
        <v>-20.619</v>
      </c>
      <c r="F29" s="72">
        <f t="shared" si="11"/>
        <v>-23.655999999999999</v>
      </c>
      <c r="G29" s="72">
        <f t="shared" si="11"/>
        <v>-27.253</v>
      </c>
      <c r="H29" s="72">
        <f t="shared" si="11"/>
        <v>-23.896000000000001</v>
      </c>
      <c r="I29" s="72">
        <f t="shared" si="11"/>
        <v>-22.012999999999998</v>
      </c>
      <c r="J29" s="72">
        <f t="shared" si="11"/>
        <v>-22.461999999999996</v>
      </c>
      <c r="K29" s="72">
        <f t="shared" si="11"/>
        <v>-22.856999999999999</v>
      </c>
      <c r="L29" s="72">
        <f t="shared" si="11"/>
        <v>-21.264000000000003</v>
      </c>
      <c r="M29" s="72">
        <f t="shared" si="11"/>
        <v>-20.793999999999997</v>
      </c>
      <c r="N29" s="72">
        <f t="shared" si="11"/>
        <v>-25.752000000000002</v>
      </c>
      <c r="O29" s="72">
        <f t="shared" si="11"/>
        <v>-27.674999999999997</v>
      </c>
      <c r="P29" s="72">
        <f t="shared" si="11"/>
        <v>-25.181000000000001</v>
      </c>
      <c r="Q29" s="72">
        <f t="shared" si="11"/>
        <v>-23.61</v>
      </c>
      <c r="R29" s="72">
        <f t="shared" si="11"/>
        <v>-32.212000000000003</v>
      </c>
      <c r="S29" s="72">
        <f t="shared" si="11"/>
        <v>-33.234999999999999</v>
      </c>
      <c r="T29" s="72">
        <f t="shared" si="11"/>
        <v>-34.637999999999998</v>
      </c>
      <c r="U29" s="72">
        <f t="shared" si="11"/>
        <v>-30.629999999999995</v>
      </c>
      <c r="V29" s="72">
        <f t="shared" si="11"/>
        <v>-38.731000000000002</v>
      </c>
      <c r="W29" s="72">
        <f t="shared" si="11"/>
        <v>-47.533000000000001</v>
      </c>
      <c r="X29" s="72">
        <f t="shared" si="11"/>
        <v>-63.122</v>
      </c>
      <c r="Y29" s="72">
        <f t="shared" si="11"/>
        <v>-40.141000000000005</v>
      </c>
      <c r="Z29" s="72">
        <f t="shared" si="11"/>
        <v>-58.179999999999993</v>
      </c>
      <c r="AA29" s="72">
        <f t="shared" si="11"/>
        <v>-58.231687840000006</v>
      </c>
      <c r="AB29" s="72">
        <f t="shared" si="11"/>
        <v>-64.839130959999991</v>
      </c>
      <c r="AC29" s="74">
        <f t="shared" si="11"/>
        <v>-54.718855101000003</v>
      </c>
      <c r="AD29" s="75">
        <f t="shared" si="11"/>
        <v>-68.831870140000007</v>
      </c>
      <c r="AE29" s="75">
        <f t="shared" si="11"/>
        <v>-67.536969800000008</v>
      </c>
      <c r="AF29" s="75">
        <f t="shared" si="11"/>
        <v>-70.390655459999991</v>
      </c>
      <c r="AG29" s="75">
        <f t="shared" si="11"/>
        <v>-55.207343400000006</v>
      </c>
      <c r="AH29" s="75">
        <f t="shared" si="11"/>
        <v>-73.475556863500003</v>
      </c>
      <c r="AI29" s="75">
        <f t="shared" ref="AI29:BJ29" si="12">SUM(AI25:AI28)</f>
        <v>-54.286033405832995</v>
      </c>
      <c r="AJ29" s="72">
        <f t="shared" si="12"/>
        <v>-59.525528692500004</v>
      </c>
      <c r="AK29" s="75">
        <f t="shared" si="12"/>
        <v>-49.926304690000002</v>
      </c>
      <c r="AL29" s="72">
        <f t="shared" si="12"/>
        <v>-65.144662629999999</v>
      </c>
      <c r="AM29" s="75">
        <f t="shared" si="12"/>
        <v>-63.414394169999994</v>
      </c>
      <c r="AN29" s="72">
        <f t="shared" si="12"/>
        <v>-76.332584510000004</v>
      </c>
      <c r="AO29" s="72">
        <f t="shared" si="12"/>
        <v>-62.597913929107001</v>
      </c>
      <c r="AP29" s="72">
        <f t="shared" si="12"/>
        <v>-80.208302570000001</v>
      </c>
      <c r="AQ29" s="72">
        <f t="shared" si="12"/>
        <v>-73.889031979999999</v>
      </c>
      <c r="AR29" s="72">
        <f t="shared" si="12"/>
        <v>-94.41484749</v>
      </c>
      <c r="AS29" s="74">
        <f t="shared" si="12"/>
        <v>-76.185603229999998</v>
      </c>
      <c r="AT29" s="75">
        <f t="shared" si="12"/>
        <v>-92.026524199999997</v>
      </c>
      <c r="AU29" s="75">
        <f t="shared" si="12"/>
        <v>-88.870920999999996</v>
      </c>
      <c r="AV29" s="72">
        <f t="shared" si="12"/>
        <v>-89.936403514285985</v>
      </c>
      <c r="AW29" s="72">
        <f t="shared" si="12"/>
        <v>-79.796084988575004</v>
      </c>
      <c r="AX29" s="72">
        <f t="shared" si="12"/>
        <v>-91.078510386874996</v>
      </c>
      <c r="AY29" s="72">
        <f t="shared" si="12"/>
        <v>-91.57</v>
      </c>
      <c r="AZ29" s="72">
        <f t="shared" si="12"/>
        <v>-96.61</v>
      </c>
      <c r="BA29" s="72">
        <f t="shared" si="12"/>
        <v>-72.16</v>
      </c>
      <c r="BB29" s="72">
        <f t="shared" si="12"/>
        <v>-92.600000000000009</v>
      </c>
      <c r="BC29" s="72">
        <f t="shared" si="12"/>
        <v>-92.14</v>
      </c>
      <c r="BD29" s="72">
        <f t="shared" si="12"/>
        <v>-93.27</v>
      </c>
      <c r="BE29" s="72">
        <f t="shared" si="12"/>
        <v>-90.56</v>
      </c>
      <c r="BF29" s="72">
        <f t="shared" si="12"/>
        <v>-106.77</v>
      </c>
      <c r="BG29" s="72">
        <f t="shared" si="12"/>
        <v>-104.36</v>
      </c>
      <c r="BH29" s="72">
        <f t="shared" si="12"/>
        <v>-103.86</v>
      </c>
      <c r="BI29" s="73">
        <f t="shared" si="12"/>
        <v>-92.890000000000015</v>
      </c>
      <c r="BJ29" s="90">
        <f t="shared" si="12"/>
        <v>-109.9</v>
      </c>
      <c r="BK29" s="90">
        <v>-109.4</v>
      </c>
      <c r="BL29" s="90">
        <f>SUM(BL25:BL28)</f>
        <v>-109.28</v>
      </c>
      <c r="BM29" s="90">
        <f>SUM(BM25:BM28)</f>
        <v>-96.339999999999975</v>
      </c>
      <c r="BN29" s="72">
        <v>-128.19999999999999</v>
      </c>
      <c r="BO29" s="72">
        <v>-124.1</v>
      </c>
      <c r="BP29" s="74">
        <v>-130.51</v>
      </c>
      <c r="BQ29" s="72">
        <v>-122.97499999999999</v>
      </c>
      <c r="BR29" s="74">
        <v>-157.26</v>
      </c>
      <c r="BS29" s="72">
        <v>-152.15600000000001</v>
      </c>
      <c r="BT29" s="72">
        <f t="shared" ref="BT29:BY29" si="13">SUM(BT25:BT28)</f>
        <v>-153.06</v>
      </c>
      <c r="BU29" s="72">
        <f t="shared" si="13"/>
        <v>-134.55616032133861</v>
      </c>
      <c r="BV29" s="72">
        <f t="shared" si="13"/>
        <v>-189.53407152595622</v>
      </c>
      <c r="BW29" s="75">
        <f t="shared" si="13"/>
        <v>-164.24142589188301</v>
      </c>
      <c r="BX29" s="75">
        <f t="shared" si="13"/>
        <v>-165.79632152343291</v>
      </c>
      <c r="BY29" s="75">
        <f t="shared" si="13"/>
        <v>-148.40959462099718</v>
      </c>
      <c r="BZ29" s="72">
        <f t="shared" ref="BZ29:CE29" si="14">SUM(BZ25:BZ28)</f>
        <v>-187.07475327013339</v>
      </c>
      <c r="CA29" s="72">
        <f t="shared" si="14"/>
        <v>-178.88991832123989</v>
      </c>
      <c r="CB29" s="72">
        <f t="shared" si="14"/>
        <v>-185.38702890397121</v>
      </c>
      <c r="CC29" s="399">
        <f t="shared" si="14"/>
        <v>-177.18920282793994</v>
      </c>
      <c r="CD29" s="399">
        <f t="shared" si="14"/>
        <v>-221.12669812600242</v>
      </c>
      <c r="CE29" s="367">
        <f t="shared" si="14"/>
        <v>-202.44027884724653</v>
      </c>
      <c r="CF29" s="473"/>
      <c r="CG29" s="430"/>
      <c r="CH29"/>
    </row>
    <row r="30" spans="1:87" s="31" customFormat="1" x14ac:dyDescent="0.2">
      <c r="A30" s="70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4"/>
      <c r="AD30" s="75"/>
      <c r="AE30" s="75"/>
      <c r="AF30" s="75"/>
      <c r="AG30" s="75"/>
      <c r="AH30" s="75"/>
      <c r="AI30" s="75"/>
      <c r="AJ30" s="72"/>
      <c r="AK30" s="74"/>
      <c r="AL30" s="72"/>
      <c r="AM30" s="75"/>
      <c r="AN30" s="72"/>
      <c r="AO30" s="72"/>
      <c r="AP30" s="72"/>
      <c r="AQ30" s="72"/>
      <c r="AR30" s="72"/>
      <c r="AS30" s="74"/>
      <c r="AT30" s="75"/>
      <c r="AU30" s="75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5"/>
      <c r="BJ30" s="72"/>
      <c r="BK30" s="72"/>
      <c r="BL30" s="72"/>
      <c r="BM30" s="72"/>
      <c r="BN30" s="72"/>
      <c r="BO30" s="72"/>
      <c r="BP30" s="74"/>
      <c r="BQ30" s="72"/>
      <c r="BR30" s="74"/>
      <c r="BS30" s="72"/>
      <c r="BT30" s="72"/>
      <c r="BU30" s="72"/>
      <c r="BV30" s="72"/>
      <c r="BW30" s="75"/>
      <c r="BX30" s="75"/>
      <c r="BY30" s="75"/>
      <c r="BZ30" s="72"/>
      <c r="CA30" s="72"/>
      <c r="CB30" s="72"/>
      <c r="CC30" s="399"/>
      <c r="CD30" s="399"/>
      <c r="CE30" s="367"/>
      <c r="CF30" s="356"/>
      <c r="CG30"/>
      <c r="CH30"/>
    </row>
    <row r="31" spans="1:87" s="31" customFormat="1" x14ac:dyDescent="0.2">
      <c r="A31" s="8" t="s">
        <v>100</v>
      </c>
      <c r="B31" s="9"/>
      <c r="C31" s="73">
        <f t="shared" ref="C31:AH31" si="15">SUM(C23,C29)</f>
        <v>-0.96930000000000049</v>
      </c>
      <c r="D31" s="73">
        <f t="shared" si="15"/>
        <v>-2.1630000000000003</v>
      </c>
      <c r="E31" s="73">
        <f t="shared" si="15"/>
        <v>0.98100000000000165</v>
      </c>
      <c r="F31" s="73">
        <f t="shared" si="15"/>
        <v>11.544000000000004</v>
      </c>
      <c r="G31" s="73">
        <f t="shared" si="15"/>
        <v>2.4469999999999992</v>
      </c>
      <c r="H31" s="73">
        <f t="shared" si="15"/>
        <v>0.70400000000000063</v>
      </c>
      <c r="I31" s="73">
        <f t="shared" si="15"/>
        <v>8.1870000000000012</v>
      </c>
      <c r="J31" s="73">
        <f t="shared" si="15"/>
        <v>15.637999999999998</v>
      </c>
      <c r="K31" s="73">
        <f t="shared" si="15"/>
        <v>6.0710000000000051</v>
      </c>
      <c r="L31" s="73">
        <f t="shared" si="15"/>
        <v>12.229999999999997</v>
      </c>
      <c r="M31" s="73">
        <f t="shared" si="15"/>
        <v>19.916000000000004</v>
      </c>
      <c r="N31" s="73">
        <f t="shared" si="15"/>
        <v>20.657999999999994</v>
      </c>
      <c r="O31" s="73">
        <f t="shared" si="15"/>
        <v>37.734999999999999</v>
      </c>
      <c r="P31" s="73">
        <f t="shared" si="15"/>
        <v>24.167000000000005</v>
      </c>
      <c r="Q31" s="73">
        <f t="shared" si="15"/>
        <v>16.719000000000001</v>
      </c>
      <c r="R31" s="73">
        <f t="shared" si="15"/>
        <v>22.516999999999989</v>
      </c>
      <c r="S31" s="73">
        <f t="shared" si="15"/>
        <v>27.564999999999998</v>
      </c>
      <c r="T31" s="73">
        <f t="shared" si="15"/>
        <v>31.240000000000016</v>
      </c>
      <c r="U31" s="73">
        <f t="shared" si="15"/>
        <v>43.257999999999996</v>
      </c>
      <c r="V31" s="73">
        <f t="shared" si="15"/>
        <v>44.556999999999995</v>
      </c>
      <c r="W31" s="73">
        <f t="shared" si="15"/>
        <v>75.917000000000002</v>
      </c>
      <c r="X31" s="73">
        <f t="shared" si="15"/>
        <v>62.077999999999989</v>
      </c>
      <c r="Y31" s="73">
        <f t="shared" si="15"/>
        <v>46.413999999999987</v>
      </c>
      <c r="Z31" s="73">
        <f t="shared" si="15"/>
        <v>59.458000000000013</v>
      </c>
      <c r="AA31" s="73">
        <f t="shared" si="15"/>
        <v>77.093312159999982</v>
      </c>
      <c r="AB31" s="73">
        <f t="shared" si="15"/>
        <v>73.685869040000014</v>
      </c>
      <c r="AC31" s="73">
        <f t="shared" si="15"/>
        <v>75.791099898999988</v>
      </c>
      <c r="AD31" s="73">
        <f t="shared" si="15"/>
        <v>81.28177986</v>
      </c>
      <c r="AE31" s="73">
        <f t="shared" si="15"/>
        <v>68.813029200000017</v>
      </c>
      <c r="AF31" s="73">
        <f t="shared" si="15"/>
        <v>59.111964540000017</v>
      </c>
      <c r="AG31" s="73">
        <f t="shared" si="15"/>
        <v>61.334463799999988</v>
      </c>
      <c r="AH31" s="73">
        <f t="shared" si="15"/>
        <v>50.037153936500005</v>
      </c>
      <c r="AI31" s="73">
        <f t="shared" ref="AI31:BK31" si="16">SUM(AI23,AI29)</f>
        <v>53.396373594166988</v>
      </c>
      <c r="AJ31" s="73">
        <f t="shared" si="16"/>
        <v>72.051617027500001</v>
      </c>
      <c r="AK31" s="73">
        <f t="shared" si="16"/>
        <v>76.640318430000008</v>
      </c>
      <c r="AL31" s="73">
        <f t="shared" si="16"/>
        <v>77.912210509999994</v>
      </c>
      <c r="AM31" s="73">
        <f t="shared" si="16"/>
        <v>89.085605830000006</v>
      </c>
      <c r="AN31" s="73">
        <f t="shared" si="16"/>
        <v>82.529641489999989</v>
      </c>
      <c r="AO31" s="73">
        <f t="shared" si="16"/>
        <v>73.653012570892997</v>
      </c>
      <c r="AP31" s="73">
        <f t="shared" si="16"/>
        <v>84.934971910000002</v>
      </c>
      <c r="AQ31" s="73">
        <f t="shared" si="16"/>
        <v>106.17196802000001</v>
      </c>
      <c r="AR31" s="73">
        <f t="shared" si="16"/>
        <v>74.396152510000007</v>
      </c>
      <c r="AS31" s="77">
        <f t="shared" si="16"/>
        <v>102.80238674</v>
      </c>
      <c r="AT31" s="76">
        <f t="shared" si="16"/>
        <v>62.301704810000004</v>
      </c>
      <c r="AU31" s="76">
        <f t="shared" si="16"/>
        <v>72.219079000000008</v>
      </c>
      <c r="AV31" s="73">
        <f t="shared" si="16"/>
        <v>48.613596485714027</v>
      </c>
      <c r="AW31" s="73">
        <f t="shared" si="16"/>
        <v>42.619038491425002</v>
      </c>
      <c r="AX31" s="73">
        <f t="shared" si="16"/>
        <v>37.512431083124994</v>
      </c>
      <c r="AY31" s="73">
        <f t="shared" si="16"/>
        <v>53.523000000000025</v>
      </c>
      <c r="AZ31" s="73">
        <f t="shared" si="16"/>
        <v>35.915000000000006</v>
      </c>
      <c r="BA31" s="73">
        <f t="shared" si="16"/>
        <v>72.653639999999996</v>
      </c>
      <c r="BB31" s="73">
        <f t="shared" si="16"/>
        <v>65.221927000000008</v>
      </c>
      <c r="BC31" s="73">
        <f t="shared" si="16"/>
        <v>76.055000000000021</v>
      </c>
      <c r="BD31" s="73">
        <f t="shared" si="16"/>
        <v>67.015000000000029</v>
      </c>
      <c r="BE31" s="73">
        <f t="shared" si="16"/>
        <v>71.073999999999984</v>
      </c>
      <c r="BF31" s="73">
        <f t="shared" si="16"/>
        <v>81.129999999999981</v>
      </c>
      <c r="BG31" s="73">
        <f t="shared" si="16"/>
        <v>114.54</v>
      </c>
      <c r="BH31" s="73">
        <f t="shared" si="16"/>
        <v>121.83999999999999</v>
      </c>
      <c r="BI31" s="76">
        <f t="shared" si="16"/>
        <v>108.29213200000001</v>
      </c>
      <c r="BJ31" s="73">
        <f t="shared" si="16"/>
        <v>140.1</v>
      </c>
      <c r="BK31" s="73">
        <f t="shared" si="16"/>
        <v>114.66</v>
      </c>
      <c r="BL31" s="73">
        <v>111.4</v>
      </c>
      <c r="BM31" s="73">
        <f t="shared" ref="BM31:BR31" si="17">SUM(BM23,BM29)</f>
        <v>122.30600000000004</v>
      </c>
      <c r="BN31" s="73">
        <f t="shared" si="17"/>
        <v>117</v>
      </c>
      <c r="BO31" s="73">
        <f t="shared" si="17"/>
        <v>120.34700000000001</v>
      </c>
      <c r="BP31" s="77">
        <f t="shared" si="17"/>
        <v>103.04000000000002</v>
      </c>
      <c r="BQ31" s="73">
        <f t="shared" si="17"/>
        <v>103.69399999999999</v>
      </c>
      <c r="BR31" s="73">
        <f t="shared" si="17"/>
        <v>113.53000000000003</v>
      </c>
      <c r="BS31" s="73">
        <v>119.15600000000001</v>
      </c>
      <c r="BT31" s="73">
        <v>90.62</v>
      </c>
      <c r="BU31" s="73">
        <f t="shared" ref="BU31:BZ31" si="18">SUM(BU23,BU29)</f>
        <v>132.53383967866142</v>
      </c>
      <c r="BV31" s="73">
        <f t="shared" si="18"/>
        <v>77.378020984043985</v>
      </c>
      <c r="BW31" s="76">
        <f t="shared" si="18"/>
        <v>103.41093353079299</v>
      </c>
      <c r="BX31" s="76">
        <f t="shared" si="18"/>
        <v>118.24720219834441</v>
      </c>
      <c r="BY31" s="76">
        <f t="shared" si="18"/>
        <v>164.61959639257796</v>
      </c>
      <c r="BZ31" s="73">
        <f t="shared" si="18"/>
        <v>141.59460760183782</v>
      </c>
      <c r="CA31" s="73">
        <f>SUM(CA23,CA29)</f>
        <v>362.76506242484493</v>
      </c>
      <c r="CB31" s="73">
        <f>SUM(CB23,CB29)</f>
        <v>340.25715330907315</v>
      </c>
      <c r="CC31" s="397">
        <f>SUM(CC23,CC29)</f>
        <v>398.21120650593906</v>
      </c>
      <c r="CD31" s="397">
        <f>SUM(CD23,CD29)</f>
        <v>484.92497018828567</v>
      </c>
      <c r="CE31" s="435">
        <f>SUM(CE23,CE29)</f>
        <v>754.30680120512579</v>
      </c>
      <c r="CF31" s="472"/>
      <c r="CG31" s="430"/>
      <c r="CH31"/>
    </row>
    <row r="32" spans="1:87" s="31" customFormat="1" x14ac:dyDescent="0.2">
      <c r="A32" s="70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4"/>
      <c r="AD32" s="75"/>
      <c r="AE32" s="75"/>
      <c r="AF32" s="75"/>
      <c r="AG32" s="75"/>
      <c r="AH32" s="75"/>
      <c r="AI32" s="75"/>
      <c r="AJ32" s="72"/>
      <c r="AK32" s="74"/>
      <c r="AL32" s="72"/>
      <c r="AM32" s="75"/>
      <c r="AN32" s="72"/>
      <c r="AO32" s="72"/>
      <c r="AP32" s="72"/>
      <c r="AQ32" s="72"/>
      <c r="AR32" s="72"/>
      <c r="AS32" s="74"/>
      <c r="AT32" s="75"/>
      <c r="AU32" s="75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5"/>
      <c r="BJ32" s="72"/>
      <c r="BK32" s="72"/>
      <c r="BL32" s="72"/>
      <c r="BM32" s="72"/>
      <c r="BN32" s="72"/>
      <c r="BO32" s="72"/>
      <c r="BP32" s="74"/>
      <c r="BQ32" s="72"/>
      <c r="BR32" s="74"/>
      <c r="BS32" s="72"/>
      <c r="BT32" s="72"/>
      <c r="BU32" s="72"/>
      <c r="BV32" s="72"/>
      <c r="BW32" s="75"/>
      <c r="BX32" s="75"/>
      <c r="BY32" s="75"/>
      <c r="BZ32" s="72"/>
      <c r="CA32" s="72"/>
      <c r="CB32" s="72"/>
      <c r="CC32" s="399"/>
      <c r="CD32" s="399"/>
      <c r="CE32" s="367"/>
      <c r="CF32" s="356"/>
      <c r="CG32"/>
      <c r="CH32"/>
    </row>
    <row r="33" spans="1:89" x14ac:dyDescent="0.2">
      <c r="A33" s="334" t="s">
        <v>101</v>
      </c>
      <c r="B33" s="40"/>
      <c r="C33" s="41"/>
      <c r="D33" s="41"/>
      <c r="E33" s="41"/>
      <c r="F33" s="41">
        <v>0</v>
      </c>
      <c r="G33" s="41">
        <v>0</v>
      </c>
      <c r="H33" s="41">
        <v>-0.1</v>
      </c>
      <c r="I33" s="41">
        <v>0.1</v>
      </c>
      <c r="J33" s="41">
        <v>-0.1</v>
      </c>
      <c r="K33" s="41">
        <v>0</v>
      </c>
      <c r="L33" s="41"/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0.1</v>
      </c>
      <c r="W33" s="41">
        <v>0</v>
      </c>
      <c r="X33" s="41">
        <v>0</v>
      </c>
      <c r="Y33" s="41">
        <v>0</v>
      </c>
      <c r="Z33" s="41">
        <v>0</v>
      </c>
      <c r="AA33" s="41">
        <v>-0.5</v>
      </c>
      <c r="AB33" s="41">
        <v>0</v>
      </c>
      <c r="AC33" s="43">
        <v>0</v>
      </c>
      <c r="AD33" s="42">
        <v>-0.95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1">
        <v>0</v>
      </c>
      <c r="AK33" s="43">
        <v>0</v>
      </c>
      <c r="AL33" s="41">
        <v>0</v>
      </c>
      <c r="AM33" s="42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-6</v>
      </c>
      <c r="AS33" s="43">
        <v>0</v>
      </c>
      <c r="AT33" s="42">
        <v>0</v>
      </c>
      <c r="AU33" s="42">
        <v>0</v>
      </c>
      <c r="AV33" s="41">
        <v>0</v>
      </c>
      <c r="AW33" s="41">
        <v>-1</v>
      </c>
      <c r="AX33" s="41">
        <v>0</v>
      </c>
      <c r="AY33" s="41">
        <v>0</v>
      </c>
      <c r="AZ33" s="41">
        <v>0</v>
      </c>
      <c r="BA33" s="41">
        <v>0</v>
      </c>
      <c r="BB33" s="41">
        <v>-1</v>
      </c>
      <c r="BC33" s="41">
        <v>-0.1</v>
      </c>
      <c r="BD33" s="41">
        <v>-0.1</v>
      </c>
      <c r="BE33" s="41">
        <v>0.1</v>
      </c>
      <c r="BF33" s="41">
        <v>0.5</v>
      </c>
      <c r="BG33" s="41">
        <v>0</v>
      </c>
      <c r="BH33" s="41">
        <v>0</v>
      </c>
      <c r="BI33" s="42">
        <v>0</v>
      </c>
      <c r="BJ33" s="41">
        <v>0.1</v>
      </c>
      <c r="BK33" s="41">
        <v>-0.1</v>
      </c>
      <c r="BL33" s="41">
        <v>-0.2</v>
      </c>
      <c r="BM33" s="41">
        <v>-0.17</v>
      </c>
      <c r="BN33" s="41">
        <v>0</v>
      </c>
      <c r="BO33" s="41">
        <v>0.215</v>
      </c>
      <c r="BP33" s="43">
        <v>7.0000000000000007E-2</v>
      </c>
      <c r="BQ33" s="41">
        <v>0.08</v>
      </c>
      <c r="BR33" s="43">
        <v>0</v>
      </c>
      <c r="BS33" s="41">
        <v>0.35199999999999998</v>
      </c>
      <c r="BT33" s="41">
        <v>-0.7</v>
      </c>
      <c r="BU33" s="41">
        <v>-0.438</v>
      </c>
      <c r="BV33" s="41">
        <v>-0.37414310000000001</v>
      </c>
      <c r="BW33" s="42">
        <v>-1.181427</v>
      </c>
      <c r="BX33" s="42">
        <v>1.6518256</v>
      </c>
      <c r="BY33" s="42">
        <v>-0.45436603999999908</v>
      </c>
      <c r="BZ33" s="41">
        <v>0.31376823999999998</v>
      </c>
      <c r="CA33" s="41">
        <v>0.52257983000000008</v>
      </c>
      <c r="CB33" s="41">
        <v>-4.9674577799999993</v>
      </c>
      <c r="CC33" s="393">
        <v>-0.410795470000001</v>
      </c>
      <c r="CD33" s="393">
        <v>0.98423378999999911</v>
      </c>
      <c r="CE33" s="362">
        <v>1.4349887600000015</v>
      </c>
      <c r="CH33" s="430"/>
      <c r="CI33" s="429"/>
    </row>
    <row r="34" spans="1:89" x14ac:dyDescent="0.2">
      <c r="A34" s="335" t="s">
        <v>179</v>
      </c>
      <c r="B34" s="336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87"/>
      <c r="AD34" s="86"/>
      <c r="AE34" s="86"/>
      <c r="AF34" s="86"/>
      <c r="AG34" s="86"/>
      <c r="AH34" s="86"/>
      <c r="AI34" s="86"/>
      <c r="AJ34" s="68"/>
      <c r="AK34" s="87"/>
      <c r="AL34" s="68"/>
      <c r="AM34" s="86"/>
      <c r="AN34" s="68"/>
      <c r="AO34" s="68"/>
      <c r="AP34" s="68"/>
      <c r="AQ34" s="68"/>
      <c r="AR34" s="68"/>
      <c r="AS34" s="87"/>
      <c r="AT34" s="86"/>
      <c r="AU34" s="86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86"/>
      <c r="BJ34" s="68"/>
      <c r="BK34" s="68"/>
      <c r="BL34" s="68"/>
      <c r="BM34" s="68"/>
      <c r="BN34" s="68"/>
      <c r="BO34" s="68"/>
      <c r="BP34" s="87"/>
      <c r="BQ34" s="68"/>
      <c r="BR34" s="87"/>
      <c r="BS34" s="68"/>
      <c r="BT34" s="68"/>
      <c r="BU34" s="68"/>
      <c r="BV34" s="68">
        <v>-0.6552</v>
      </c>
      <c r="BW34" s="86">
        <v>-2.2652459999999999</v>
      </c>
      <c r="BX34" s="86">
        <v>-2.4945930000000001</v>
      </c>
      <c r="BY34" s="86">
        <v>-1.6407729999999998</v>
      </c>
      <c r="BZ34" s="68">
        <v>-1.8413349999999999</v>
      </c>
      <c r="CA34" s="68">
        <v>-2.393097</v>
      </c>
      <c r="CB34" s="68">
        <v>-2.095237</v>
      </c>
      <c r="CC34" s="398">
        <v>-1.339917</v>
      </c>
      <c r="CD34" s="398"/>
      <c r="CE34" s="366"/>
    </row>
    <row r="35" spans="1:89" s="31" customFormat="1" ht="15" x14ac:dyDescent="0.2">
      <c r="A35" s="70" t="s">
        <v>195</v>
      </c>
      <c r="B35" s="71"/>
      <c r="C35" s="72">
        <f t="shared" ref="C35:AH35" si="19">SUM(C31,C33)</f>
        <v>-0.96930000000000049</v>
      </c>
      <c r="D35" s="72">
        <f t="shared" si="19"/>
        <v>-2.1630000000000003</v>
      </c>
      <c r="E35" s="72">
        <f t="shared" si="19"/>
        <v>0.98100000000000165</v>
      </c>
      <c r="F35" s="72">
        <f t="shared" si="19"/>
        <v>11.544000000000004</v>
      </c>
      <c r="G35" s="72">
        <f t="shared" si="19"/>
        <v>2.4469999999999992</v>
      </c>
      <c r="H35" s="72">
        <f t="shared" si="19"/>
        <v>0.60400000000000065</v>
      </c>
      <c r="I35" s="72">
        <f t="shared" si="19"/>
        <v>8.2870000000000008</v>
      </c>
      <c r="J35" s="72">
        <f t="shared" si="19"/>
        <v>15.537999999999998</v>
      </c>
      <c r="K35" s="72">
        <f t="shared" si="19"/>
        <v>6.0710000000000051</v>
      </c>
      <c r="L35" s="72">
        <f t="shared" si="19"/>
        <v>12.229999999999997</v>
      </c>
      <c r="M35" s="72">
        <f t="shared" si="19"/>
        <v>19.916000000000004</v>
      </c>
      <c r="N35" s="72">
        <f t="shared" si="19"/>
        <v>20.657999999999994</v>
      </c>
      <c r="O35" s="72">
        <f t="shared" si="19"/>
        <v>37.734999999999999</v>
      </c>
      <c r="P35" s="72">
        <f t="shared" si="19"/>
        <v>24.167000000000005</v>
      </c>
      <c r="Q35" s="72">
        <f t="shared" si="19"/>
        <v>16.719000000000001</v>
      </c>
      <c r="R35" s="72">
        <f t="shared" si="19"/>
        <v>22.516999999999989</v>
      </c>
      <c r="S35" s="72">
        <f t="shared" si="19"/>
        <v>27.564999999999998</v>
      </c>
      <c r="T35" s="72">
        <f t="shared" si="19"/>
        <v>31.240000000000016</v>
      </c>
      <c r="U35" s="72">
        <f t="shared" si="19"/>
        <v>43.257999999999996</v>
      </c>
      <c r="V35" s="72">
        <f t="shared" si="19"/>
        <v>44.656999999999996</v>
      </c>
      <c r="W35" s="72">
        <f t="shared" si="19"/>
        <v>75.917000000000002</v>
      </c>
      <c r="X35" s="72">
        <f t="shared" si="19"/>
        <v>62.077999999999989</v>
      </c>
      <c r="Y35" s="72">
        <f t="shared" si="19"/>
        <v>46.413999999999987</v>
      </c>
      <c r="Z35" s="72">
        <f t="shared" si="19"/>
        <v>59.458000000000013</v>
      </c>
      <c r="AA35" s="72">
        <f t="shared" si="19"/>
        <v>76.593312159999982</v>
      </c>
      <c r="AB35" s="72">
        <f t="shared" si="19"/>
        <v>73.685869040000014</v>
      </c>
      <c r="AC35" s="72">
        <f t="shared" si="19"/>
        <v>75.791099898999988</v>
      </c>
      <c r="AD35" s="72">
        <f t="shared" si="19"/>
        <v>80.331779859999997</v>
      </c>
      <c r="AE35" s="72">
        <f t="shared" si="19"/>
        <v>68.813029200000017</v>
      </c>
      <c r="AF35" s="72">
        <f t="shared" si="19"/>
        <v>59.111964540000017</v>
      </c>
      <c r="AG35" s="72">
        <f t="shared" si="19"/>
        <v>61.334463799999988</v>
      </c>
      <c r="AH35" s="72">
        <f t="shared" si="19"/>
        <v>50.037153936500005</v>
      </c>
      <c r="AI35" s="72">
        <f t="shared" ref="AI35:BR35" si="20">SUM(AI31,AI33)</f>
        <v>53.396373594166988</v>
      </c>
      <c r="AJ35" s="72">
        <f t="shared" si="20"/>
        <v>72.051617027500001</v>
      </c>
      <c r="AK35" s="72">
        <f t="shared" si="20"/>
        <v>76.640318430000008</v>
      </c>
      <c r="AL35" s="72">
        <f t="shared" si="20"/>
        <v>77.912210509999994</v>
      </c>
      <c r="AM35" s="72">
        <f t="shared" si="20"/>
        <v>89.085605830000006</v>
      </c>
      <c r="AN35" s="72">
        <f t="shared" si="20"/>
        <v>82.529641489999989</v>
      </c>
      <c r="AO35" s="72">
        <f t="shared" si="20"/>
        <v>73.653012570892997</v>
      </c>
      <c r="AP35" s="72">
        <f t="shared" si="20"/>
        <v>84.934971910000002</v>
      </c>
      <c r="AQ35" s="72">
        <f t="shared" si="20"/>
        <v>106.17196802000001</v>
      </c>
      <c r="AR35" s="72">
        <f t="shared" si="20"/>
        <v>68.396152510000007</v>
      </c>
      <c r="AS35" s="74">
        <f t="shared" si="20"/>
        <v>102.80238674</v>
      </c>
      <c r="AT35" s="75">
        <f t="shared" si="20"/>
        <v>62.301704810000004</v>
      </c>
      <c r="AU35" s="75">
        <f t="shared" si="20"/>
        <v>72.219079000000008</v>
      </c>
      <c r="AV35" s="72">
        <f t="shared" si="20"/>
        <v>48.613596485714027</v>
      </c>
      <c r="AW35" s="72">
        <f t="shared" si="20"/>
        <v>41.619038491425002</v>
      </c>
      <c r="AX35" s="72">
        <f t="shared" si="20"/>
        <v>37.512431083124994</v>
      </c>
      <c r="AY35" s="72">
        <f t="shared" si="20"/>
        <v>53.523000000000025</v>
      </c>
      <c r="AZ35" s="72">
        <f t="shared" si="20"/>
        <v>35.915000000000006</v>
      </c>
      <c r="BA35" s="72">
        <f t="shared" si="20"/>
        <v>72.653639999999996</v>
      </c>
      <c r="BB35" s="72">
        <f t="shared" si="20"/>
        <v>64.221927000000008</v>
      </c>
      <c r="BC35" s="72">
        <f t="shared" si="20"/>
        <v>75.955000000000027</v>
      </c>
      <c r="BD35" s="72">
        <f t="shared" si="20"/>
        <v>66.915000000000035</v>
      </c>
      <c r="BE35" s="72">
        <f t="shared" si="20"/>
        <v>71.173999999999978</v>
      </c>
      <c r="BF35" s="72">
        <f t="shared" si="20"/>
        <v>81.629999999999981</v>
      </c>
      <c r="BG35" s="72">
        <f t="shared" si="20"/>
        <v>114.54</v>
      </c>
      <c r="BH35" s="72">
        <f t="shared" si="20"/>
        <v>121.83999999999999</v>
      </c>
      <c r="BI35" s="75">
        <f t="shared" si="20"/>
        <v>108.29213200000001</v>
      </c>
      <c r="BJ35" s="72">
        <f t="shared" si="20"/>
        <v>140.19999999999999</v>
      </c>
      <c r="BK35" s="72">
        <f t="shared" si="20"/>
        <v>114.56</v>
      </c>
      <c r="BL35" s="72">
        <f t="shared" si="20"/>
        <v>111.2</v>
      </c>
      <c r="BM35" s="72">
        <f t="shared" si="20"/>
        <v>122.13600000000004</v>
      </c>
      <c r="BN35" s="72">
        <f t="shared" si="20"/>
        <v>117</v>
      </c>
      <c r="BO35" s="72">
        <f t="shared" si="20"/>
        <v>120.56200000000001</v>
      </c>
      <c r="BP35" s="74">
        <f t="shared" si="20"/>
        <v>103.11000000000001</v>
      </c>
      <c r="BQ35" s="72">
        <f t="shared" si="20"/>
        <v>103.77399999999999</v>
      </c>
      <c r="BR35" s="72">
        <f t="shared" si="20"/>
        <v>113.53000000000003</v>
      </c>
      <c r="BS35" s="72">
        <v>119.50700000000001</v>
      </c>
      <c r="BT35" s="72">
        <v>89.92</v>
      </c>
      <c r="BU35" s="72">
        <f>SUM(BU31,BU33)</f>
        <v>132.09583967866143</v>
      </c>
      <c r="BV35" s="72">
        <f t="shared" ref="BV35:BX35" si="21">SUM(BV31,BV33,BV34)</f>
        <v>76.348677884043994</v>
      </c>
      <c r="BW35" s="75">
        <f t="shared" si="21"/>
        <v>99.964260530792984</v>
      </c>
      <c r="BX35" s="75">
        <f t="shared" si="21"/>
        <v>117.40443479834441</v>
      </c>
      <c r="BY35" s="75">
        <f t="shared" ref="BY35:CD35" si="22">SUM(BY31,BY33,BY34)</f>
        <v>162.52445735257797</v>
      </c>
      <c r="BZ35" s="72">
        <f t="shared" si="22"/>
        <v>140.06704084183784</v>
      </c>
      <c r="CA35" s="72">
        <f t="shared" si="22"/>
        <v>360.8945452548449</v>
      </c>
      <c r="CB35" s="72">
        <f t="shared" si="22"/>
        <v>333.19445852907313</v>
      </c>
      <c r="CC35" s="399">
        <f t="shared" si="22"/>
        <v>396.46049403593906</v>
      </c>
      <c r="CD35" s="399">
        <f t="shared" si="22"/>
        <v>485.90920397828569</v>
      </c>
      <c r="CE35" s="367">
        <f t="shared" ref="CE35" si="23">SUM(CE31,CE33,CE34)</f>
        <v>755.7417899651258</v>
      </c>
      <c r="CF35" s="473"/>
      <c r="CG35" s="430"/>
    </row>
    <row r="36" spans="1:89" s="446" customFormat="1" x14ac:dyDescent="0.2">
      <c r="A36" s="437" t="s">
        <v>200</v>
      </c>
      <c r="B36" s="438"/>
      <c r="C36" s="439">
        <f>+C23+C29+C33+C34</f>
        <v>-0.96930000000000049</v>
      </c>
      <c r="D36" s="439">
        <f t="shared" ref="D36:BN36" si="24">+D23+D29+D33+D34</f>
        <v>-2.1630000000000003</v>
      </c>
      <c r="E36" s="439">
        <f t="shared" si="24"/>
        <v>0.98100000000000165</v>
      </c>
      <c r="F36" s="439">
        <f t="shared" si="24"/>
        <v>11.544000000000004</v>
      </c>
      <c r="G36" s="439">
        <f t="shared" si="24"/>
        <v>2.4469999999999992</v>
      </c>
      <c r="H36" s="439">
        <f t="shared" si="24"/>
        <v>0.60400000000000065</v>
      </c>
      <c r="I36" s="439">
        <f t="shared" si="24"/>
        <v>8.2870000000000008</v>
      </c>
      <c r="J36" s="439">
        <f t="shared" si="24"/>
        <v>15.537999999999998</v>
      </c>
      <c r="K36" s="439">
        <f t="shared" si="24"/>
        <v>6.0710000000000051</v>
      </c>
      <c r="L36" s="439">
        <f t="shared" si="24"/>
        <v>12.229999999999997</v>
      </c>
      <c r="M36" s="439">
        <f t="shared" si="24"/>
        <v>19.916000000000004</v>
      </c>
      <c r="N36" s="439">
        <f t="shared" si="24"/>
        <v>20.657999999999994</v>
      </c>
      <c r="O36" s="439">
        <f t="shared" si="24"/>
        <v>37.734999999999999</v>
      </c>
      <c r="P36" s="439">
        <f t="shared" si="24"/>
        <v>24.167000000000005</v>
      </c>
      <c r="Q36" s="439">
        <f t="shared" si="24"/>
        <v>16.719000000000001</v>
      </c>
      <c r="R36" s="439">
        <f t="shared" si="24"/>
        <v>22.516999999999989</v>
      </c>
      <c r="S36" s="439">
        <f t="shared" si="24"/>
        <v>27.564999999999998</v>
      </c>
      <c r="T36" s="439">
        <f t="shared" si="24"/>
        <v>31.240000000000016</v>
      </c>
      <c r="U36" s="439">
        <f t="shared" si="24"/>
        <v>43.257999999999996</v>
      </c>
      <c r="V36" s="439">
        <f t="shared" si="24"/>
        <v>44.656999999999996</v>
      </c>
      <c r="W36" s="439">
        <f t="shared" si="24"/>
        <v>75.917000000000002</v>
      </c>
      <c r="X36" s="439">
        <f t="shared" si="24"/>
        <v>62.077999999999989</v>
      </c>
      <c r="Y36" s="439">
        <f t="shared" si="24"/>
        <v>46.413999999999987</v>
      </c>
      <c r="Z36" s="439">
        <f t="shared" si="24"/>
        <v>59.458000000000013</v>
      </c>
      <c r="AA36" s="439">
        <f t="shared" si="24"/>
        <v>76.593312159999982</v>
      </c>
      <c r="AB36" s="439">
        <f t="shared" si="24"/>
        <v>73.685869040000014</v>
      </c>
      <c r="AC36" s="440">
        <f t="shared" si="24"/>
        <v>75.791099898999988</v>
      </c>
      <c r="AD36" s="440">
        <f t="shared" si="24"/>
        <v>80.331779859999997</v>
      </c>
      <c r="AE36" s="440">
        <f t="shared" si="24"/>
        <v>68.813029200000017</v>
      </c>
      <c r="AF36" s="440">
        <f t="shared" si="24"/>
        <v>59.111964540000017</v>
      </c>
      <c r="AG36" s="440">
        <f t="shared" si="24"/>
        <v>61.334463799999988</v>
      </c>
      <c r="AH36" s="440">
        <f t="shared" si="24"/>
        <v>50.037153936500005</v>
      </c>
      <c r="AI36" s="440">
        <f t="shared" si="24"/>
        <v>53.396373594166988</v>
      </c>
      <c r="AJ36" s="439">
        <f t="shared" si="24"/>
        <v>72.051617027500001</v>
      </c>
      <c r="AK36" s="441">
        <f t="shared" si="24"/>
        <v>76.640318430000008</v>
      </c>
      <c r="AL36" s="439">
        <f t="shared" si="24"/>
        <v>77.912210509999994</v>
      </c>
      <c r="AM36" s="440">
        <f t="shared" si="24"/>
        <v>89.085605830000006</v>
      </c>
      <c r="AN36" s="439">
        <f t="shared" si="24"/>
        <v>82.529641489999989</v>
      </c>
      <c r="AO36" s="439">
        <f t="shared" si="24"/>
        <v>73.653012570892997</v>
      </c>
      <c r="AP36" s="439">
        <f t="shared" si="24"/>
        <v>84.934971910000002</v>
      </c>
      <c r="AQ36" s="439">
        <f t="shared" si="24"/>
        <v>106.17196802000001</v>
      </c>
      <c r="AR36" s="439">
        <f t="shared" si="24"/>
        <v>68.396152510000007</v>
      </c>
      <c r="AS36" s="441">
        <f t="shared" si="24"/>
        <v>102.80238674</v>
      </c>
      <c r="AT36" s="440">
        <f t="shared" si="24"/>
        <v>62.301704810000004</v>
      </c>
      <c r="AU36" s="440">
        <f t="shared" si="24"/>
        <v>72.219079000000008</v>
      </c>
      <c r="AV36" s="439">
        <f t="shared" si="24"/>
        <v>48.613596485714027</v>
      </c>
      <c r="AW36" s="439">
        <f t="shared" si="24"/>
        <v>41.619038491425002</v>
      </c>
      <c r="AX36" s="439">
        <f t="shared" si="24"/>
        <v>37.512431083124994</v>
      </c>
      <c r="AY36" s="439">
        <f t="shared" si="24"/>
        <v>53.523000000000025</v>
      </c>
      <c r="AZ36" s="439">
        <f t="shared" si="24"/>
        <v>35.915000000000006</v>
      </c>
      <c r="BA36" s="439">
        <f t="shared" si="24"/>
        <v>72.653639999999996</v>
      </c>
      <c r="BB36" s="439">
        <f t="shared" si="24"/>
        <v>64.221927000000008</v>
      </c>
      <c r="BC36" s="439">
        <f t="shared" si="24"/>
        <v>75.955000000000027</v>
      </c>
      <c r="BD36" s="439">
        <f t="shared" si="24"/>
        <v>66.915000000000035</v>
      </c>
      <c r="BE36" s="439">
        <f t="shared" si="24"/>
        <v>71.173999999999978</v>
      </c>
      <c r="BF36" s="439">
        <f t="shared" si="24"/>
        <v>81.629999999999981</v>
      </c>
      <c r="BG36" s="439">
        <f t="shared" si="24"/>
        <v>114.54</v>
      </c>
      <c r="BH36" s="439">
        <f t="shared" si="24"/>
        <v>121.83999999999999</v>
      </c>
      <c r="BI36" s="440">
        <f t="shared" si="24"/>
        <v>108.29213200000001</v>
      </c>
      <c r="BJ36" s="439">
        <f t="shared" si="24"/>
        <v>140.19999999999999</v>
      </c>
      <c r="BK36" s="439">
        <f t="shared" si="24"/>
        <v>114.56</v>
      </c>
      <c r="BL36" s="439">
        <f t="shared" si="24"/>
        <v>111.12000000000002</v>
      </c>
      <c r="BM36" s="439">
        <f t="shared" si="24"/>
        <v>122.13600000000004</v>
      </c>
      <c r="BN36" s="439">
        <f t="shared" si="24"/>
        <v>117</v>
      </c>
      <c r="BO36" s="439">
        <f t="shared" ref="BO36:BY36" si="25">+BO23+BO29+BO33+BO34</f>
        <v>120.56200000000001</v>
      </c>
      <c r="BP36" s="441">
        <f t="shared" si="25"/>
        <v>103.11000000000001</v>
      </c>
      <c r="BQ36" s="439">
        <f t="shared" si="25"/>
        <v>103.77399999999999</v>
      </c>
      <c r="BR36" s="441">
        <f t="shared" si="25"/>
        <v>113.53000000000003</v>
      </c>
      <c r="BS36" s="439">
        <f t="shared" si="25"/>
        <v>119.50800000000001</v>
      </c>
      <c r="BT36" s="439">
        <f t="shared" si="25"/>
        <v>89.923985169999995</v>
      </c>
      <c r="BU36" s="439">
        <f t="shared" si="25"/>
        <v>132.09583967866143</v>
      </c>
      <c r="BV36" s="439">
        <f>+BV23+(BV29+35)+BV33+BV34</f>
        <v>111.34867788404399</v>
      </c>
      <c r="BW36" s="440">
        <f>+BW23+BW29+BW33+BW34</f>
        <v>99.964260530792984</v>
      </c>
      <c r="BX36" s="440">
        <f t="shared" si="25"/>
        <v>117.40443479834441</v>
      </c>
      <c r="BY36" s="440">
        <f t="shared" si="25"/>
        <v>162.52445735257797</v>
      </c>
      <c r="BZ36" s="439">
        <f>+BZ23+(BZ29+8.3)+BZ33+BZ34</f>
        <v>148.36704084183785</v>
      </c>
      <c r="CA36" s="439">
        <f>+CA23+CA29+CA33+CA34</f>
        <v>360.8945452548449</v>
      </c>
      <c r="CB36" s="439">
        <f>+CB23+CB29+CB33+CB34</f>
        <v>333.19445852907313</v>
      </c>
      <c r="CC36" s="442">
        <f>+CC23+(CC29+13)+CC33+CC34</f>
        <v>409.46049403593906</v>
      </c>
      <c r="CD36" s="442">
        <f>+(CD23-63)+(CD29+16)+CD33+CD34</f>
        <v>438.90920397828569</v>
      </c>
      <c r="CE36" s="443">
        <f>+(CE23)+(CE29-10)+CE33+CE34</f>
        <v>745.7417899651258</v>
      </c>
      <c r="CF36" s="444"/>
      <c r="CG36" s="445"/>
    </row>
    <row r="37" spans="1:89" s="31" customFormat="1" x14ac:dyDescent="0.2">
      <c r="A37" s="70"/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5"/>
      <c r="AD37" s="75"/>
      <c r="AE37" s="75"/>
      <c r="AF37" s="75"/>
      <c r="AG37" s="75"/>
      <c r="AH37" s="75"/>
      <c r="AI37" s="75"/>
      <c r="AJ37" s="72"/>
      <c r="AK37" s="74"/>
      <c r="AL37" s="72"/>
      <c r="AM37" s="75"/>
      <c r="AN37" s="72"/>
      <c r="AO37" s="72"/>
      <c r="AP37" s="72"/>
      <c r="AQ37" s="72"/>
      <c r="AR37" s="72"/>
      <c r="AS37" s="74"/>
      <c r="AT37" s="75"/>
      <c r="AU37" s="75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33"/>
      <c r="BJ37" s="32"/>
      <c r="BK37" s="32"/>
      <c r="BL37" s="32"/>
      <c r="BM37" s="32"/>
      <c r="BN37" s="32"/>
      <c r="BO37" s="32"/>
      <c r="BP37" s="7"/>
      <c r="BQ37" s="32"/>
      <c r="BR37" s="7"/>
      <c r="BS37" s="32"/>
      <c r="BT37" s="32"/>
      <c r="BU37" s="32"/>
      <c r="BV37" s="32"/>
      <c r="BW37" s="33"/>
      <c r="BX37" s="33"/>
      <c r="BY37" s="33"/>
      <c r="BZ37" s="32"/>
      <c r="CA37" s="32"/>
      <c r="CB37" s="32"/>
      <c r="CC37" s="392"/>
      <c r="CD37" s="392"/>
      <c r="CE37" s="361"/>
      <c r="CF37" s="356"/>
      <c r="CG37"/>
      <c r="CH37"/>
    </row>
    <row r="38" spans="1:89" x14ac:dyDescent="0.2">
      <c r="A38" s="13" t="s">
        <v>201</v>
      </c>
      <c r="B38" s="63"/>
      <c r="C38" s="64">
        <f t="shared" ref="C38:R38" si="26">-C35*0.28</f>
        <v>0.27140400000000015</v>
      </c>
      <c r="D38" s="64">
        <f t="shared" si="26"/>
        <v>0.60564000000000018</v>
      </c>
      <c r="E38" s="64">
        <f t="shared" si="26"/>
        <v>-0.27468000000000048</v>
      </c>
      <c r="F38" s="64">
        <f t="shared" si="26"/>
        <v>-3.2323200000000014</v>
      </c>
      <c r="G38" s="64">
        <f t="shared" si="26"/>
        <v>-0.68515999999999988</v>
      </c>
      <c r="H38" s="64">
        <f t="shared" si="26"/>
        <v>-0.16912000000000019</v>
      </c>
      <c r="I38" s="64">
        <f t="shared" si="26"/>
        <v>-2.3203600000000004</v>
      </c>
      <c r="J38" s="64">
        <f t="shared" si="26"/>
        <v>-4.3506400000000003</v>
      </c>
      <c r="K38" s="64">
        <f t="shared" si="26"/>
        <v>-1.6998800000000016</v>
      </c>
      <c r="L38" s="64">
        <f t="shared" si="26"/>
        <v>-3.4243999999999994</v>
      </c>
      <c r="M38" s="64">
        <f t="shared" si="26"/>
        <v>-5.5764800000000019</v>
      </c>
      <c r="N38" s="64">
        <f t="shared" si="26"/>
        <v>-5.7842399999999987</v>
      </c>
      <c r="O38" s="64">
        <f t="shared" si="26"/>
        <v>-10.565800000000001</v>
      </c>
      <c r="P38" s="64">
        <f t="shared" si="26"/>
        <v>-6.7667600000000023</v>
      </c>
      <c r="Q38" s="64">
        <f t="shared" si="26"/>
        <v>-4.6813200000000004</v>
      </c>
      <c r="R38" s="64">
        <f t="shared" si="26"/>
        <v>-6.3047599999999973</v>
      </c>
      <c r="S38" s="266">
        <v>-7.7649999999999997</v>
      </c>
      <c r="T38" s="266">
        <v>-9.1519999999999992</v>
      </c>
      <c r="U38" s="64">
        <v>-11.677</v>
      </c>
      <c r="V38" s="64">
        <v>-12.166</v>
      </c>
      <c r="W38" s="64">
        <v>-20.8</v>
      </c>
      <c r="X38" s="64">
        <v>-16.8</v>
      </c>
      <c r="Y38" s="64">
        <v>-12.7</v>
      </c>
      <c r="Z38" s="64">
        <v>-5.5</v>
      </c>
      <c r="AA38" s="64">
        <v>-20.5</v>
      </c>
      <c r="AB38" s="64">
        <v>-19</v>
      </c>
      <c r="AC38" s="65">
        <v>-19</v>
      </c>
      <c r="AD38" s="65">
        <v>-15.9</v>
      </c>
      <c r="AE38" s="65">
        <v>-16</v>
      </c>
      <c r="AF38" s="65">
        <v>-14</v>
      </c>
      <c r="AG38" s="65">
        <v>-13</v>
      </c>
      <c r="AH38" s="65">
        <v>-11</v>
      </c>
      <c r="AI38" s="65">
        <v>-8.8000000000000007</v>
      </c>
      <c r="AJ38" s="64">
        <v>-12</v>
      </c>
      <c r="AK38" s="66">
        <v>-17</v>
      </c>
      <c r="AL38" s="64">
        <v>-14</v>
      </c>
      <c r="AM38" s="65">
        <v>-16</v>
      </c>
      <c r="AN38" s="64">
        <v>-15</v>
      </c>
      <c r="AO38" s="64">
        <v>-13</v>
      </c>
      <c r="AP38" s="64">
        <v>-16</v>
      </c>
      <c r="AQ38" s="64">
        <v>-17</v>
      </c>
      <c r="AR38" s="64">
        <v>-11</v>
      </c>
      <c r="AS38" s="66">
        <v>-15</v>
      </c>
      <c r="AT38" s="65">
        <v>-7</v>
      </c>
      <c r="AU38" s="65">
        <v>-12</v>
      </c>
      <c r="AV38" s="64">
        <v>-10</v>
      </c>
      <c r="AW38" s="64">
        <v>-10</v>
      </c>
      <c r="AX38" s="64">
        <v>-8</v>
      </c>
      <c r="AY38" s="64">
        <v>-9</v>
      </c>
      <c r="AZ38" s="64">
        <v>-3</v>
      </c>
      <c r="BA38" s="64">
        <v>-11</v>
      </c>
      <c r="BB38" s="64">
        <v>-10</v>
      </c>
      <c r="BC38" s="64">
        <v>-10.7</v>
      </c>
      <c r="BD38" s="64">
        <v>-11.43</v>
      </c>
      <c r="BE38" s="64">
        <v>-10.6</v>
      </c>
      <c r="BF38" s="64">
        <v>-13.4</v>
      </c>
      <c r="BG38" s="64">
        <v>-16</v>
      </c>
      <c r="BH38" s="64">
        <v>-17</v>
      </c>
      <c r="BI38" s="65">
        <v>-14.7</v>
      </c>
      <c r="BJ38" s="64">
        <v>-22</v>
      </c>
      <c r="BK38" s="64">
        <v>-16</v>
      </c>
      <c r="BL38" s="64">
        <v>-17</v>
      </c>
      <c r="BM38" s="64">
        <v>-17</v>
      </c>
      <c r="BN38" s="64">
        <v>-16</v>
      </c>
      <c r="BO38" s="64">
        <v>-17.399999999999999</v>
      </c>
      <c r="BP38" s="66">
        <v>-14.6</v>
      </c>
      <c r="BQ38" s="64">
        <v>-15.048</v>
      </c>
      <c r="BR38" s="66">
        <v>-15.504</v>
      </c>
      <c r="BS38" s="64">
        <v>-15.88</v>
      </c>
      <c r="BT38" s="64">
        <v>-10.694000000000001</v>
      </c>
      <c r="BU38" s="64">
        <v>-25.759</v>
      </c>
      <c r="BV38" s="64">
        <v>-16.463508829999999</v>
      </c>
      <c r="BW38" s="65">
        <v>-12.955755999999999</v>
      </c>
      <c r="BX38" s="65">
        <v>-16.35974903</v>
      </c>
      <c r="BY38" s="65">
        <v>-24.768516339999998</v>
      </c>
      <c r="BZ38" s="64">
        <v>-18.999080660000001</v>
      </c>
      <c r="CA38" s="64">
        <v>-56.157025950000005</v>
      </c>
      <c r="CB38" s="64">
        <v>-52.473214210000002</v>
      </c>
      <c r="CC38" s="396">
        <v>-65.333903609999993</v>
      </c>
      <c r="CD38" s="396">
        <v>-67.920333169999978</v>
      </c>
      <c r="CE38" s="365">
        <v>-124.05572120999999</v>
      </c>
    </row>
    <row r="39" spans="1:89" s="31" customFormat="1" x14ac:dyDescent="0.2">
      <c r="A39" s="70" t="s">
        <v>32</v>
      </c>
      <c r="B39" s="71"/>
      <c r="C39" s="72">
        <f t="shared" ref="C39:BN39" si="27">+C35+C38</f>
        <v>-0.69789600000000029</v>
      </c>
      <c r="D39" s="72">
        <f t="shared" si="27"/>
        <v>-1.5573600000000001</v>
      </c>
      <c r="E39" s="72">
        <f t="shared" si="27"/>
        <v>0.70632000000000117</v>
      </c>
      <c r="F39" s="72">
        <f t="shared" si="27"/>
        <v>8.3116800000000026</v>
      </c>
      <c r="G39" s="72">
        <f t="shared" si="27"/>
        <v>1.7618399999999994</v>
      </c>
      <c r="H39" s="72">
        <f t="shared" si="27"/>
        <v>0.43488000000000049</v>
      </c>
      <c r="I39" s="72">
        <f t="shared" si="27"/>
        <v>5.9666399999999999</v>
      </c>
      <c r="J39" s="72">
        <f t="shared" si="27"/>
        <v>11.187359999999998</v>
      </c>
      <c r="K39" s="72">
        <f t="shared" si="27"/>
        <v>4.371120000000003</v>
      </c>
      <c r="L39" s="72">
        <f t="shared" si="27"/>
        <v>8.8055999999999983</v>
      </c>
      <c r="M39" s="72">
        <f t="shared" si="27"/>
        <v>14.339520000000002</v>
      </c>
      <c r="N39" s="72">
        <f t="shared" si="27"/>
        <v>14.873759999999995</v>
      </c>
      <c r="O39" s="72">
        <f t="shared" si="27"/>
        <v>27.169199999999996</v>
      </c>
      <c r="P39" s="72">
        <f t="shared" si="27"/>
        <v>17.400240000000004</v>
      </c>
      <c r="Q39" s="72">
        <f t="shared" si="27"/>
        <v>12.037680000000002</v>
      </c>
      <c r="R39" s="72">
        <f t="shared" si="27"/>
        <v>16.212239999999991</v>
      </c>
      <c r="S39" s="72">
        <f t="shared" si="27"/>
        <v>19.799999999999997</v>
      </c>
      <c r="T39" s="72">
        <f t="shared" si="27"/>
        <v>22.088000000000015</v>
      </c>
      <c r="U39" s="72">
        <f t="shared" si="27"/>
        <v>31.580999999999996</v>
      </c>
      <c r="V39" s="72">
        <f t="shared" si="27"/>
        <v>32.491</v>
      </c>
      <c r="W39" s="72">
        <f t="shared" si="27"/>
        <v>55.117000000000004</v>
      </c>
      <c r="X39" s="72">
        <f t="shared" si="27"/>
        <v>45.277999999999992</v>
      </c>
      <c r="Y39" s="72">
        <f t="shared" si="27"/>
        <v>33.713999999999984</v>
      </c>
      <c r="Z39" s="72">
        <f t="shared" si="27"/>
        <v>53.958000000000013</v>
      </c>
      <c r="AA39" s="72">
        <f t="shared" si="27"/>
        <v>56.093312159999982</v>
      </c>
      <c r="AB39" s="72">
        <f t="shared" si="27"/>
        <v>54.685869040000014</v>
      </c>
      <c r="AC39" s="74">
        <f t="shared" si="27"/>
        <v>56.791099898999988</v>
      </c>
      <c r="AD39" s="75">
        <f t="shared" si="27"/>
        <v>64.431779859999992</v>
      </c>
      <c r="AE39" s="75">
        <f t="shared" si="27"/>
        <v>52.813029200000017</v>
      </c>
      <c r="AF39" s="75">
        <f t="shared" si="27"/>
        <v>45.111964540000017</v>
      </c>
      <c r="AG39" s="75">
        <f t="shared" si="27"/>
        <v>48.334463799999988</v>
      </c>
      <c r="AH39" s="75">
        <f t="shared" si="27"/>
        <v>39.037153936500005</v>
      </c>
      <c r="AI39" s="75">
        <f t="shared" si="27"/>
        <v>44.596373594166991</v>
      </c>
      <c r="AJ39" s="72">
        <f t="shared" si="27"/>
        <v>60.051617027500001</v>
      </c>
      <c r="AK39" s="75">
        <f t="shared" si="27"/>
        <v>59.640318430000008</v>
      </c>
      <c r="AL39" s="72">
        <f t="shared" si="27"/>
        <v>63.912210509999994</v>
      </c>
      <c r="AM39" s="75">
        <f t="shared" si="27"/>
        <v>73.085605830000006</v>
      </c>
      <c r="AN39" s="72">
        <f t="shared" si="27"/>
        <v>67.529641489999989</v>
      </c>
      <c r="AO39" s="72">
        <f t="shared" si="27"/>
        <v>60.653012570892997</v>
      </c>
      <c r="AP39" s="72">
        <f t="shared" si="27"/>
        <v>68.934971910000002</v>
      </c>
      <c r="AQ39" s="72">
        <f t="shared" si="27"/>
        <v>89.171968020000008</v>
      </c>
      <c r="AR39" s="72">
        <f t="shared" si="27"/>
        <v>57.396152510000007</v>
      </c>
      <c r="AS39" s="74">
        <f t="shared" si="27"/>
        <v>87.802386740000003</v>
      </c>
      <c r="AT39" s="75">
        <f t="shared" si="27"/>
        <v>55.301704810000004</v>
      </c>
      <c r="AU39" s="75">
        <f t="shared" si="27"/>
        <v>60.219079000000008</v>
      </c>
      <c r="AV39" s="72">
        <f t="shared" si="27"/>
        <v>38.613596485714027</v>
      </c>
      <c r="AW39" s="72">
        <f t="shared" si="27"/>
        <v>31.619038491425002</v>
      </c>
      <c r="AX39" s="72">
        <f t="shared" si="27"/>
        <v>29.512431083124994</v>
      </c>
      <c r="AY39" s="72">
        <f t="shared" si="27"/>
        <v>44.523000000000025</v>
      </c>
      <c r="AZ39" s="72">
        <f t="shared" si="27"/>
        <v>32.915000000000006</v>
      </c>
      <c r="BA39" s="72">
        <f t="shared" si="27"/>
        <v>61.653639999999996</v>
      </c>
      <c r="BB39" s="72">
        <f t="shared" si="27"/>
        <v>54.221927000000008</v>
      </c>
      <c r="BC39" s="72">
        <f t="shared" si="27"/>
        <v>65.255000000000024</v>
      </c>
      <c r="BD39" s="72">
        <f t="shared" si="27"/>
        <v>55.485000000000035</v>
      </c>
      <c r="BE39" s="72">
        <f t="shared" si="27"/>
        <v>60.573999999999977</v>
      </c>
      <c r="BF39" s="72">
        <f t="shared" si="27"/>
        <v>68.229999999999976</v>
      </c>
      <c r="BG39" s="72">
        <f t="shared" si="27"/>
        <v>98.54</v>
      </c>
      <c r="BH39" s="72">
        <f t="shared" si="27"/>
        <v>104.83999999999999</v>
      </c>
      <c r="BI39" s="75">
        <f t="shared" si="27"/>
        <v>93.592132000000007</v>
      </c>
      <c r="BJ39" s="72">
        <f t="shared" si="27"/>
        <v>118.19999999999999</v>
      </c>
      <c r="BK39" s="72">
        <f t="shared" si="27"/>
        <v>98.56</v>
      </c>
      <c r="BL39" s="72">
        <f t="shared" si="27"/>
        <v>94.2</v>
      </c>
      <c r="BM39" s="72">
        <f t="shared" si="27"/>
        <v>105.13600000000004</v>
      </c>
      <c r="BN39" s="72">
        <f t="shared" si="27"/>
        <v>101</v>
      </c>
      <c r="BO39" s="72">
        <f t="shared" ref="BO39:BU39" si="28">+BO35+BO38</f>
        <v>103.16200000000001</v>
      </c>
      <c r="BP39" s="74">
        <f t="shared" si="28"/>
        <v>88.510000000000019</v>
      </c>
      <c r="BQ39" s="72">
        <f t="shared" si="28"/>
        <v>88.725999999999985</v>
      </c>
      <c r="BR39" s="72">
        <f t="shared" si="28"/>
        <v>98.026000000000025</v>
      </c>
      <c r="BS39" s="72">
        <f t="shared" si="28"/>
        <v>103.62700000000001</v>
      </c>
      <c r="BT39" s="72">
        <f t="shared" si="28"/>
        <v>79.225999999999999</v>
      </c>
      <c r="BU39" s="72">
        <f t="shared" si="28"/>
        <v>106.33683967866143</v>
      </c>
      <c r="BV39" s="72">
        <f t="shared" ref="BV39:CD39" si="29">+BV35+BV38</f>
        <v>59.885169054043999</v>
      </c>
      <c r="BW39" s="75">
        <f t="shared" si="29"/>
        <v>87.00850453079299</v>
      </c>
      <c r="BX39" s="75">
        <f t="shared" si="29"/>
        <v>101.04468576834441</v>
      </c>
      <c r="BY39" s="75">
        <f t="shared" si="29"/>
        <v>137.75594101257798</v>
      </c>
      <c r="BZ39" s="72">
        <f t="shared" si="29"/>
        <v>121.06796018183783</v>
      </c>
      <c r="CA39" s="72">
        <f t="shared" si="29"/>
        <v>304.73751930484491</v>
      </c>
      <c r="CB39" s="72">
        <f t="shared" si="29"/>
        <v>280.72124431907315</v>
      </c>
      <c r="CC39" s="399">
        <f t="shared" si="29"/>
        <v>331.12659042593907</v>
      </c>
      <c r="CD39" s="399">
        <f t="shared" si="29"/>
        <v>417.9888708082857</v>
      </c>
      <c r="CE39" s="367">
        <f>+CE35+CE38</f>
        <v>631.6860687551258</v>
      </c>
      <c r="CF39" s="474"/>
      <c r="CG39"/>
      <c r="CJ39"/>
      <c r="CK39"/>
    </row>
    <row r="40" spans="1:89" x14ac:dyDescent="0.2">
      <c r="A40" s="11"/>
      <c r="B40" s="1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33"/>
      <c r="AE40" s="33"/>
      <c r="AF40" s="33"/>
      <c r="AG40" s="33"/>
      <c r="AH40" s="33"/>
      <c r="AI40" s="33"/>
      <c r="AJ40" s="32"/>
      <c r="AK40" s="7"/>
      <c r="AL40" s="32"/>
      <c r="AM40" s="33"/>
      <c r="AN40" s="32"/>
      <c r="AO40" s="32"/>
      <c r="AP40" s="32"/>
      <c r="AQ40" s="32"/>
      <c r="AR40" s="32"/>
      <c r="AS40" s="7"/>
      <c r="AT40" s="33"/>
      <c r="AU40" s="33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3"/>
      <c r="BJ40" s="32"/>
      <c r="BK40" s="32"/>
      <c r="BL40" s="32"/>
      <c r="BM40" s="32"/>
      <c r="BN40" s="32"/>
      <c r="BO40" s="32"/>
      <c r="BP40" s="7"/>
      <c r="BQ40" s="32"/>
      <c r="BR40" s="7"/>
      <c r="BS40" s="32"/>
      <c r="BT40" s="32"/>
      <c r="BU40" s="32"/>
      <c r="BV40" s="32"/>
      <c r="BW40" s="33"/>
      <c r="BX40" s="33"/>
      <c r="BY40" s="33"/>
      <c r="BZ40" s="32"/>
      <c r="CA40" s="32"/>
      <c r="CB40" s="32"/>
      <c r="CC40" s="392"/>
      <c r="CD40" s="392"/>
      <c r="CE40" s="361"/>
    </row>
    <row r="41" spans="1:89" x14ac:dyDescent="0.2">
      <c r="A41" s="11"/>
      <c r="B41" s="1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7"/>
      <c r="AD41" s="33"/>
      <c r="AE41" s="33"/>
      <c r="AF41" s="33"/>
      <c r="AG41" s="33"/>
      <c r="AH41" s="33"/>
      <c r="AI41" s="33"/>
      <c r="AJ41" s="32"/>
      <c r="AK41" s="7"/>
      <c r="AL41" s="32"/>
      <c r="AM41" s="33"/>
      <c r="AN41" s="32"/>
      <c r="AO41" s="32"/>
      <c r="AP41" s="32"/>
      <c r="AQ41" s="32"/>
      <c r="AR41" s="32"/>
      <c r="AS41" s="7"/>
      <c r="AT41" s="33"/>
      <c r="AU41" s="33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7"/>
      <c r="BJ41" s="32"/>
      <c r="BK41" s="32"/>
      <c r="BL41" s="32"/>
      <c r="BM41" s="32"/>
      <c r="BN41" s="32"/>
      <c r="BO41" s="32"/>
      <c r="BP41" s="7"/>
      <c r="BQ41" s="32"/>
      <c r="BR41" s="7"/>
      <c r="BS41" s="32"/>
      <c r="BT41" s="32"/>
      <c r="BU41" s="32"/>
      <c r="BV41" s="32"/>
      <c r="BW41" s="33"/>
      <c r="BX41" s="33"/>
      <c r="BY41" s="33"/>
      <c r="BZ41" s="32"/>
      <c r="CA41" s="32"/>
      <c r="CB41" s="32"/>
      <c r="CC41" s="392"/>
      <c r="CD41" s="392"/>
      <c r="CE41" s="361"/>
    </row>
    <row r="42" spans="1:89" x14ac:dyDescent="0.2">
      <c r="A42" s="304" t="s">
        <v>155</v>
      </c>
      <c r="B42" s="7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3"/>
      <c r="AD42" s="33"/>
      <c r="AE42" s="33"/>
      <c r="AF42" s="33"/>
      <c r="AG42" s="33"/>
      <c r="AH42" s="33"/>
      <c r="AI42" s="33"/>
      <c r="AJ42" s="32"/>
      <c r="AK42" s="7"/>
      <c r="AL42" s="32"/>
      <c r="AM42" s="33"/>
      <c r="AN42" s="32"/>
      <c r="AO42" s="32"/>
      <c r="AP42" s="32"/>
      <c r="AQ42" s="32"/>
      <c r="AR42" s="32"/>
      <c r="AS42" s="7"/>
      <c r="AT42" s="33"/>
      <c r="AU42" s="33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3"/>
      <c r="BJ42" s="32"/>
      <c r="BK42" s="32"/>
      <c r="BL42" s="32"/>
      <c r="BM42" s="32"/>
      <c r="BN42" s="32"/>
      <c r="BO42" s="32"/>
      <c r="BP42" s="7"/>
      <c r="BQ42" s="32"/>
      <c r="BR42" s="7"/>
      <c r="BS42" s="32"/>
      <c r="BT42" s="32"/>
      <c r="BU42" s="32"/>
      <c r="BV42" s="32"/>
      <c r="BW42" s="33"/>
      <c r="BX42" s="33"/>
      <c r="BY42" s="33"/>
      <c r="BZ42" s="32"/>
      <c r="CA42" s="32"/>
      <c r="CB42" s="32"/>
      <c r="CC42" s="392"/>
      <c r="CD42" s="392"/>
      <c r="CE42" s="361"/>
    </row>
    <row r="43" spans="1:89" x14ac:dyDescent="0.2">
      <c r="A43" s="39" t="s">
        <v>42</v>
      </c>
      <c r="B43" s="40"/>
      <c r="C43" s="169">
        <f t="shared" ref="C43:AH43" si="30">+C35/C23</f>
        <v>-4.4875000000000026E-2</v>
      </c>
      <c r="D43" s="169">
        <f t="shared" si="30"/>
        <v>-0.13109090909090912</v>
      </c>
      <c r="E43" s="169">
        <f t="shared" si="30"/>
        <v>4.5416666666666737E-2</v>
      </c>
      <c r="F43" s="169">
        <f t="shared" si="30"/>
        <v>0.32795454545454555</v>
      </c>
      <c r="G43" s="169">
        <f t="shared" si="30"/>
        <v>8.2390572390572361E-2</v>
      </c>
      <c r="H43" s="169">
        <f t="shared" si="30"/>
        <v>2.4552845528455311E-2</v>
      </c>
      <c r="I43" s="169">
        <f t="shared" si="30"/>
        <v>0.27440397350993379</v>
      </c>
      <c r="J43" s="169">
        <f t="shared" si="30"/>
        <v>0.4078215223097113</v>
      </c>
      <c r="K43" s="169">
        <f t="shared" si="30"/>
        <v>0.20986587389380545</v>
      </c>
      <c r="L43" s="169">
        <f t="shared" si="30"/>
        <v>0.36514002507911858</v>
      </c>
      <c r="M43" s="169">
        <f t="shared" si="30"/>
        <v>0.48921640874478023</v>
      </c>
      <c r="N43" s="169">
        <f t="shared" si="30"/>
        <v>0.4451195862960568</v>
      </c>
      <c r="O43" s="169">
        <f t="shared" si="30"/>
        <v>0.57689955664271519</v>
      </c>
      <c r="P43" s="169">
        <f t="shared" si="30"/>
        <v>0.48972602739726034</v>
      </c>
      <c r="Q43" s="169">
        <f t="shared" si="30"/>
        <v>0.41456520121996582</v>
      </c>
      <c r="R43" s="169">
        <f t="shared" si="30"/>
        <v>0.41142721409124949</v>
      </c>
      <c r="S43" s="169">
        <f t="shared" si="30"/>
        <v>0.45337171052631575</v>
      </c>
      <c r="T43" s="169">
        <f t="shared" si="30"/>
        <v>0.47420990315431572</v>
      </c>
      <c r="U43" s="169">
        <f t="shared" si="30"/>
        <v>0.58545365959289741</v>
      </c>
      <c r="V43" s="169">
        <f t="shared" si="30"/>
        <v>0.53617567956968593</v>
      </c>
      <c r="W43" s="169">
        <f t="shared" si="30"/>
        <v>0.6149615228837586</v>
      </c>
      <c r="X43" s="169">
        <f t="shared" si="30"/>
        <v>0.4958306709265175</v>
      </c>
      <c r="Y43" s="169">
        <f t="shared" si="30"/>
        <v>0.53623707469239201</v>
      </c>
      <c r="Z43" s="169">
        <f t="shared" si="30"/>
        <v>0.50543191825770595</v>
      </c>
      <c r="AA43" s="169">
        <f t="shared" si="30"/>
        <v>0.56599528660631804</v>
      </c>
      <c r="AB43" s="169">
        <f t="shared" si="30"/>
        <v>0.53193191871503342</v>
      </c>
      <c r="AC43" s="170">
        <f t="shared" si="30"/>
        <v>0.58073041170690765</v>
      </c>
      <c r="AD43" s="171">
        <f t="shared" si="30"/>
        <v>0.53513974152250643</v>
      </c>
      <c r="AE43" s="171">
        <f t="shared" si="30"/>
        <v>0.50467935243622553</v>
      </c>
      <c r="AF43" s="171">
        <f t="shared" si="30"/>
        <v>0.4564538118224945</v>
      </c>
      <c r="AG43" s="171">
        <f t="shared" si="30"/>
        <v>0.52628722064299682</v>
      </c>
      <c r="AH43" s="171">
        <f t="shared" si="30"/>
        <v>0.40511744590824739</v>
      </c>
      <c r="AI43" s="171">
        <f t="shared" ref="AI43:BN43" si="31">+AI35/AI23</f>
        <v>0.49586905681043142</v>
      </c>
      <c r="AJ43" s="169">
        <f t="shared" si="31"/>
        <v>0.54759978743442228</v>
      </c>
      <c r="AK43" s="171">
        <f t="shared" si="31"/>
        <v>0.60553340636524688</v>
      </c>
      <c r="AL43" s="169">
        <f t="shared" si="31"/>
        <v>0.5446240281915895</v>
      </c>
      <c r="AM43" s="171">
        <f t="shared" si="31"/>
        <v>0.5841679070819672</v>
      </c>
      <c r="AN43" s="169">
        <f t="shared" si="31"/>
        <v>0.51950450127772974</v>
      </c>
      <c r="AO43" s="169">
        <f t="shared" si="31"/>
        <v>0.54056889345917958</v>
      </c>
      <c r="AP43" s="169">
        <f t="shared" si="31"/>
        <v>0.5143108139125957</v>
      </c>
      <c r="AQ43" s="169">
        <f t="shared" si="31"/>
        <v>0.58964444282770845</v>
      </c>
      <c r="AR43" s="169">
        <f t="shared" si="31"/>
        <v>0.4051640740828501</v>
      </c>
      <c r="AS43" s="170">
        <f t="shared" si="31"/>
        <v>0.57435354605205979</v>
      </c>
      <c r="AT43" s="171">
        <f t="shared" si="31"/>
        <v>0.40369610413894558</v>
      </c>
      <c r="AU43" s="171">
        <f t="shared" si="31"/>
        <v>0.44831509715066115</v>
      </c>
      <c r="AV43" s="169">
        <f t="shared" si="31"/>
        <v>0.35087402732381107</v>
      </c>
      <c r="AW43" s="169">
        <f t="shared" si="31"/>
        <v>0.33998281673280878</v>
      </c>
      <c r="AX43" s="169">
        <f t="shared" si="31"/>
        <v>0.29171907954244636</v>
      </c>
      <c r="AY43" s="169">
        <f t="shared" si="31"/>
        <v>0.36888754109433275</v>
      </c>
      <c r="AZ43" s="169">
        <f t="shared" si="31"/>
        <v>0.27100547066591213</v>
      </c>
      <c r="BA43" s="169">
        <f t="shared" si="31"/>
        <v>0.50170439745869244</v>
      </c>
      <c r="BB43" s="169">
        <f t="shared" si="31"/>
        <v>0.40692651661768142</v>
      </c>
      <c r="BC43" s="169">
        <f t="shared" si="31"/>
        <v>0.45158892951633528</v>
      </c>
      <c r="BD43" s="169">
        <f t="shared" si="31"/>
        <v>0.41747512243815721</v>
      </c>
      <c r="BE43" s="169">
        <f t="shared" si="31"/>
        <v>0.44034052241483834</v>
      </c>
      <c r="BF43" s="169">
        <f t="shared" si="31"/>
        <v>0.43443320915380518</v>
      </c>
      <c r="BG43" s="169">
        <f t="shared" si="31"/>
        <v>0.52325262677021478</v>
      </c>
      <c r="BH43" s="169">
        <f t="shared" si="31"/>
        <v>0.53983163491360209</v>
      </c>
      <c r="BI43" s="170">
        <f t="shared" si="31"/>
        <v>0.53827907540019504</v>
      </c>
      <c r="BJ43" s="169">
        <f t="shared" si="31"/>
        <v>0.56079999999999997</v>
      </c>
      <c r="BK43" s="169">
        <f t="shared" si="31"/>
        <v>0.51129161831652237</v>
      </c>
      <c r="BL43" s="169">
        <f t="shared" si="31"/>
        <v>0.50407978241160467</v>
      </c>
      <c r="BM43" s="169">
        <f t="shared" si="31"/>
        <v>0.55860157514887088</v>
      </c>
      <c r="BN43" s="169">
        <f t="shared" si="31"/>
        <v>0.47716150081566072</v>
      </c>
      <c r="BO43" s="169">
        <f t="shared" ref="BO43:CC43" si="32">+BO35/BO23</f>
        <v>0.49320302560473234</v>
      </c>
      <c r="BP43" s="170">
        <f t="shared" si="32"/>
        <v>0.44149004495825311</v>
      </c>
      <c r="BQ43" s="169">
        <f t="shared" si="32"/>
        <v>0.45782175771719996</v>
      </c>
      <c r="BR43" s="169">
        <f t="shared" si="32"/>
        <v>0.41925477307138381</v>
      </c>
      <c r="BS43" s="169">
        <f t="shared" si="32"/>
        <v>0.44047812112991686</v>
      </c>
      <c r="BT43" s="169">
        <f t="shared" si="32"/>
        <v>0.36900250107642313</v>
      </c>
      <c r="BU43" s="169">
        <f t="shared" si="32"/>
        <v>0.49457426215381112</v>
      </c>
      <c r="BV43" s="169">
        <f t="shared" si="32"/>
        <v>0.2860442820933019</v>
      </c>
      <c r="BW43" s="171">
        <f t="shared" si="32"/>
        <v>0.37348544487489327</v>
      </c>
      <c r="BX43" s="171">
        <f t="shared" si="32"/>
        <v>0.41333255291306309</v>
      </c>
      <c r="BY43" s="171">
        <f t="shared" si="32"/>
        <v>0.51919904602612532</v>
      </c>
      <c r="BZ43" s="169">
        <f t="shared" si="32"/>
        <v>0.42616397363671238</v>
      </c>
      <c r="CA43" s="169">
        <f t="shared" si="32"/>
        <v>0.66628122713418536</v>
      </c>
      <c r="CB43" s="169">
        <f t="shared" si="32"/>
        <v>0.63387833405912009</v>
      </c>
      <c r="CC43" s="400">
        <f t="shared" si="32"/>
        <v>0.68901670489756439</v>
      </c>
      <c r="CD43" s="400">
        <f>+CD35/CD23</f>
        <v>0.68820629676919143</v>
      </c>
      <c r="CE43" s="368">
        <f>+CE35/CE23</f>
        <v>0.78990760016090822</v>
      </c>
    </row>
    <row r="44" spans="1:89" x14ac:dyDescent="0.2">
      <c r="A44" s="39" t="s">
        <v>154</v>
      </c>
      <c r="B44" s="40"/>
      <c r="C44" s="169">
        <f t="shared" ref="C44:AH44" si="33">+C39/C23</f>
        <v>-3.2310000000000019E-2</v>
      </c>
      <c r="D44" s="169">
        <f t="shared" si="33"/>
        <v>-9.438545454545455E-2</v>
      </c>
      <c r="E44" s="169">
        <f t="shared" si="33"/>
        <v>3.2700000000000055E-2</v>
      </c>
      <c r="F44" s="169">
        <f t="shared" si="33"/>
        <v>0.23612727272727277</v>
      </c>
      <c r="G44" s="169">
        <f t="shared" si="33"/>
        <v>5.9321212121212101E-2</v>
      </c>
      <c r="H44" s="169">
        <f t="shared" si="33"/>
        <v>1.7678048780487825E-2</v>
      </c>
      <c r="I44" s="169">
        <f t="shared" si="33"/>
        <v>0.19757086092715231</v>
      </c>
      <c r="J44" s="169">
        <f t="shared" si="33"/>
        <v>0.2936314960629921</v>
      </c>
      <c r="K44" s="169">
        <f t="shared" si="33"/>
        <v>0.15110342920353989</v>
      </c>
      <c r="L44" s="169">
        <f t="shared" si="33"/>
        <v>0.26290081805696536</v>
      </c>
      <c r="M44" s="169">
        <f t="shared" si="33"/>
        <v>0.35223581429624173</v>
      </c>
      <c r="N44" s="169">
        <f t="shared" si="33"/>
        <v>0.32048610213316087</v>
      </c>
      <c r="O44" s="169">
        <f t="shared" si="33"/>
        <v>0.41536768078275488</v>
      </c>
      <c r="P44" s="169">
        <f t="shared" si="33"/>
        <v>0.3526027397260274</v>
      </c>
      <c r="Q44" s="169">
        <f t="shared" si="33"/>
        <v>0.2984869448783754</v>
      </c>
      <c r="R44" s="169">
        <f t="shared" si="33"/>
        <v>0.2962275941456996</v>
      </c>
      <c r="S44" s="169">
        <f t="shared" si="33"/>
        <v>0.32565789473684209</v>
      </c>
      <c r="T44" s="169">
        <f t="shared" si="33"/>
        <v>0.33528643856826268</v>
      </c>
      <c r="U44" s="169">
        <f t="shared" si="33"/>
        <v>0.42741717193590301</v>
      </c>
      <c r="V44" s="169">
        <f t="shared" si="33"/>
        <v>0.39010421669388146</v>
      </c>
      <c r="W44" s="169">
        <f t="shared" si="33"/>
        <v>0.44647225597407858</v>
      </c>
      <c r="X44" s="169">
        <f t="shared" si="33"/>
        <v>0.36164536741214054</v>
      </c>
      <c r="Y44" s="169">
        <f t="shared" si="33"/>
        <v>0.38950956039512435</v>
      </c>
      <c r="Z44" s="169">
        <f t="shared" si="33"/>
        <v>0.45867831823050381</v>
      </c>
      <c r="AA44" s="169">
        <f t="shared" si="33"/>
        <v>0.41450812606687593</v>
      </c>
      <c r="AB44" s="169">
        <f t="shared" si="33"/>
        <v>0.39477256119833976</v>
      </c>
      <c r="AC44" s="170">
        <f t="shared" si="33"/>
        <v>0.43514764754152274</v>
      </c>
      <c r="AD44" s="171">
        <f t="shared" si="33"/>
        <v>0.42921999338501188</v>
      </c>
      <c r="AE44" s="171">
        <f t="shared" si="33"/>
        <v>0.38733428373549167</v>
      </c>
      <c r="AF44" s="171">
        <f t="shared" si="33"/>
        <v>0.34834789087664803</v>
      </c>
      <c r="AG44" s="171">
        <f t="shared" si="33"/>
        <v>0.41473926791826848</v>
      </c>
      <c r="AH44" s="171">
        <f t="shared" si="33"/>
        <v>0.31605778614730234</v>
      </c>
      <c r="AI44" s="171">
        <f t="shared" ref="AI44:BN44" si="34">+AI39/AI23</f>
        <v>0.41414725800257229</v>
      </c>
      <c r="AJ44" s="169">
        <f t="shared" si="34"/>
        <v>0.45639853865876973</v>
      </c>
      <c r="AK44" s="171">
        <f t="shared" si="34"/>
        <v>0.47121679444235459</v>
      </c>
      <c r="AL44" s="169">
        <f t="shared" si="34"/>
        <v>0.44676085187080439</v>
      </c>
      <c r="AM44" s="171">
        <f t="shared" si="34"/>
        <v>0.47924987429508198</v>
      </c>
      <c r="AN44" s="169">
        <f t="shared" si="34"/>
        <v>0.42508306216230402</v>
      </c>
      <c r="AO44" s="169">
        <f t="shared" si="34"/>
        <v>0.44515669822540987</v>
      </c>
      <c r="AP44" s="169">
        <f t="shared" si="34"/>
        <v>0.41742524560604194</v>
      </c>
      <c r="AQ44" s="169">
        <f t="shared" si="34"/>
        <v>0.49523199371324167</v>
      </c>
      <c r="AR44" s="169">
        <f t="shared" si="34"/>
        <v>0.34000244362038023</v>
      </c>
      <c r="AS44" s="170">
        <f t="shared" si="34"/>
        <v>0.49054904049549064</v>
      </c>
      <c r="AT44" s="171">
        <f t="shared" si="34"/>
        <v>0.35833823251102442</v>
      </c>
      <c r="AU44" s="171">
        <f t="shared" si="34"/>
        <v>0.37382257744118197</v>
      </c>
      <c r="AV44" s="169">
        <f t="shared" si="34"/>
        <v>0.27869791761612434</v>
      </c>
      <c r="AW44" s="169">
        <f t="shared" si="34"/>
        <v>0.25829356367549533</v>
      </c>
      <c r="AX44" s="169">
        <f t="shared" si="34"/>
        <v>0.2295062991665722</v>
      </c>
      <c r="AY44" s="169">
        <f t="shared" si="34"/>
        <v>0.30685835981060439</v>
      </c>
      <c r="AZ44" s="169">
        <f t="shared" si="34"/>
        <v>0.24836823240897948</v>
      </c>
      <c r="BA44" s="169">
        <f t="shared" si="34"/>
        <v>0.42574470194934677</v>
      </c>
      <c r="BB44" s="169">
        <f t="shared" si="34"/>
        <v>0.34356396497427133</v>
      </c>
      <c r="BC44" s="169">
        <f t="shared" si="34"/>
        <v>0.38797229406343836</v>
      </c>
      <c r="BD44" s="169">
        <f t="shared" si="34"/>
        <v>0.34616464422747001</v>
      </c>
      <c r="BE44" s="169">
        <f t="shared" si="34"/>
        <v>0.37476026083621011</v>
      </c>
      <c r="BF44" s="169">
        <f t="shared" si="34"/>
        <v>0.36311868014901533</v>
      </c>
      <c r="BG44" s="169">
        <f t="shared" si="34"/>
        <v>0.45015989036089538</v>
      </c>
      <c r="BH44" s="169">
        <f t="shared" si="34"/>
        <v>0.46451041205139565</v>
      </c>
      <c r="BI44" s="170">
        <f t="shared" si="34"/>
        <v>0.46521095620957031</v>
      </c>
      <c r="BJ44" s="169">
        <f t="shared" si="34"/>
        <v>0.47279999999999994</v>
      </c>
      <c r="BK44" s="169">
        <f t="shared" si="34"/>
        <v>0.43988217441756672</v>
      </c>
      <c r="BL44" s="169">
        <f t="shared" si="34"/>
        <v>0.42701722574796008</v>
      </c>
      <c r="BM44" s="169">
        <f t="shared" si="34"/>
        <v>0.48085032426845237</v>
      </c>
      <c r="BN44" s="169">
        <f t="shared" si="34"/>
        <v>0.41190864600326266</v>
      </c>
      <c r="BO44" s="169">
        <f t="shared" ref="BO44:CC44" si="35">+BO39/BO23</f>
        <v>0.42202195158868794</v>
      </c>
      <c r="BP44" s="170">
        <f t="shared" si="35"/>
        <v>0.37897666452579754</v>
      </c>
      <c r="BQ44" s="169">
        <f t="shared" si="35"/>
        <v>0.39143420582435179</v>
      </c>
      <c r="BR44" s="169">
        <f t="shared" si="35"/>
        <v>0.36200007385797117</v>
      </c>
      <c r="BS44" s="169">
        <f t="shared" si="35"/>
        <v>0.38194772070531346</v>
      </c>
      <c r="BT44" s="169">
        <f t="shared" si="35"/>
        <v>0.32511779526557716</v>
      </c>
      <c r="BU44" s="169">
        <f t="shared" si="35"/>
        <v>0.3981311156488877</v>
      </c>
      <c r="BV44" s="169">
        <f t="shared" si="35"/>
        <v>0.22436289225749606</v>
      </c>
      <c r="BW44" s="171">
        <f t="shared" si="35"/>
        <v>0.32508028219317642</v>
      </c>
      <c r="BX44" s="171">
        <f t="shared" si="35"/>
        <v>0.35573662952906615</v>
      </c>
      <c r="BY44" s="171">
        <f t="shared" si="35"/>
        <v>0.44007378534420427</v>
      </c>
      <c r="BZ44" s="169">
        <f t="shared" si="35"/>
        <v>0.36835791404662832</v>
      </c>
      <c r="CA44" s="169">
        <f t="shared" si="35"/>
        <v>0.56260448096516025</v>
      </c>
      <c r="CB44" s="169">
        <f t="shared" si="35"/>
        <v>0.53405184308745268</v>
      </c>
      <c r="CC44" s="400">
        <f t="shared" si="35"/>
        <v>0.57547159344094456</v>
      </c>
      <c r="CD44" s="400">
        <f>+CD39/CD23</f>
        <v>0.59200889901760612</v>
      </c>
      <c r="CE44" s="368">
        <f>+CE39/CE23</f>
        <v>0.66024352927269692</v>
      </c>
    </row>
    <row r="45" spans="1:89" x14ac:dyDescent="0.2">
      <c r="A45" s="47" t="s">
        <v>33</v>
      </c>
      <c r="B45" s="48"/>
      <c r="C45" s="130">
        <f t="shared" ref="C45:AH45" si="36">-(C12+C17+C20+C21+C22)/C29</f>
        <v>0.37661779496927239</v>
      </c>
      <c r="D45" s="130">
        <f t="shared" si="36"/>
        <v>0.43401382414402834</v>
      </c>
      <c r="E45" s="130">
        <f t="shared" si="36"/>
        <v>0.67898540181386091</v>
      </c>
      <c r="F45" s="130">
        <f t="shared" si="36"/>
        <v>0.52840716942847499</v>
      </c>
      <c r="G45" s="130">
        <f t="shared" si="36"/>
        <v>0.44765713866363338</v>
      </c>
      <c r="H45" s="130">
        <f t="shared" si="36"/>
        <v>0.51891529963173755</v>
      </c>
      <c r="I45" s="130">
        <f t="shared" si="36"/>
        <v>0.68595829736973601</v>
      </c>
      <c r="J45" s="130">
        <f t="shared" si="36"/>
        <v>0.58320719437271862</v>
      </c>
      <c r="K45" s="130">
        <f t="shared" si="36"/>
        <v>0.54372839830248931</v>
      </c>
      <c r="L45" s="130">
        <f t="shared" si="36"/>
        <v>0.75216328066215199</v>
      </c>
      <c r="M45" s="130">
        <f t="shared" si="36"/>
        <v>0.68337020294315665</v>
      </c>
      <c r="N45" s="130">
        <f t="shared" si="36"/>
        <v>0.69547996272134183</v>
      </c>
      <c r="O45" s="130">
        <f t="shared" si="36"/>
        <v>0.68328816621499566</v>
      </c>
      <c r="P45" s="130">
        <f t="shared" si="36"/>
        <v>0.89543703586037104</v>
      </c>
      <c r="Q45" s="130">
        <f t="shared" si="36"/>
        <v>0.83138500635324009</v>
      </c>
      <c r="R45" s="130">
        <f t="shared" si="36"/>
        <v>0.79563516701850212</v>
      </c>
      <c r="S45" s="130">
        <f t="shared" si="36"/>
        <v>0.85752971265232436</v>
      </c>
      <c r="T45" s="130">
        <f t="shared" si="36"/>
        <v>0.90299670881690641</v>
      </c>
      <c r="U45" s="130">
        <f t="shared" si="36"/>
        <v>1.057394711067581</v>
      </c>
      <c r="V45" s="130">
        <f t="shared" si="36"/>
        <v>0.96790684464640719</v>
      </c>
      <c r="W45" s="130">
        <f t="shared" si="36"/>
        <v>1.1202743357246543</v>
      </c>
      <c r="X45" s="130">
        <f t="shared" si="36"/>
        <v>0.92202401698298542</v>
      </c>
      <c r="Y45" s="130">
        <f t="shared" si="36"/>
        <v>1.0725941057771355</v>
      </c>
      <c r="Z45" s="130">
        <f t="shared" si="36"/>
        <v>1.0078721210037815</v>
      </c>
      <c r="AA45" s="130">
        <f t="shared" si="36"/>
        <v>1.0994872787462038</v>
      </c>
      <c r="AB45" s="130">
        <f t="shared" si="36"/>
        <v>1.2604271338926045</v>
      </c>
      <c r="AC45" s="132">
        <f t="shared" si="36"/>
        <v>1.2791743334322943</v>
      </c>
      <c r="AD45" s="132">
        <f t="shared" si="36"/>
        <v>1.2074878952286445</v>
      </c>
      <c r="AE45" s="132">
        <f t="shared" si="36"/>
        <v>1.0711170372941425</v>
      </c>
      <c r="AF45" s="132">
        <f t="shared" si="36"/>
        <v>1.1334262975479334</v>
      </c>
      <c r="AG45" s="132">
        <f t="shared" si="36"/>
        <v>1.1437211666301623</v>
      </c>
      <c r="AH45" s="132">
        <f t="shared" si="36"/>
        <v>0.8371860442551784</v>
      </c>
      <c r="AI45" s="132">
        <f t="shared" ref="AI45:BN45" si="37">-(AI12+AI17+AI20+AI21+AI22)/AI29</f>
        <v>0.9083995257369698</v>
      </c>
      <c r="AJ45" s="130">
        <f t="shared" si="37"/>
        <v>0.8328719930587789</v>
      </c>
      <c r="AK45" s="132">
        <f t="shared" si="37"/>
        <v>0.99279575021157052</v>
      </c>
      <c r="AL45" s="130">
        <f t="shared" si="37"/>
        <v>0.92957535882782727</v>
      </c>
      <c r="AM45" s="132">
        <f t="shared" si="37"/>
        <v>1.0328885240850674</v>
      </c>
      <c r="AN45" s="130">
        <f t="shared" si="37"/>
        <v>0.94143577688746582</v>
      </c>
      <c r="AO45" s="130">
        <f t="shared" si="37"/>
        <v>1.0583567780713918</v>
      </c>
      <c r="AP45" s="130">
        <f t="shared" si="37"/>
        <v>1.0004360135906065</v>
      </c>
      <c r="AQ45" s="130">
        <f t="shared" si="37"/>
        <v>1.2527028372093718</v>
      </c>
      <c r="AR45" s="130">
        <f t="shared" si="37"/>
        <v>1.1101114155917173</v>
      </c>
      <c r="AS45" s="131">
        <f t="shared" si="37"/>
        <v>1.2074195920230952</v>
      </c>
      <c r="AT45" s="132">
        <f t="shared" si="37"/>
        <v>0.9489462931383863</v>
      </c>
      <c r="AU45" s="132">
        <f t="shared" si="37"/>
        <v>1.0249696860911344</v>
      </c>
      <c r="AV45" s="130">
        <f t="shared" si="37"/>
        <v>0.95122771933403782</v>
      </c>
      <c r="AW45" s="130">
        <f t="shared" si="37"/>
        <v>0.94509803946895055</v>
      </c>
      <c r="AX45" s="130">
        <f t="shared" si="37"/>
        <v>0.90681041136023977</v>
      </c>
      <c r="AY45" s="130">
        <f t="shared" si="37"/>
        <v>0.88558479851479732</v>
      </c>
      <c r="AZ45" s="130">
        <f t="shared" si="37"/>
        <v>0.84385674360832219</v>
      </c>
      <c r="BA45" s="130">
        <f t="shared" si="37"/>
        <v>1.133781042128603</v>
      </c>
      <c r="BB45" s="130">
        <f t="shared" si="37"/>
        <v>0.98079834773218133</v>
      </c>
      <c r="BC45" s="130">
        <f t="shared" si="37"/>
        <v>0.98540264814412848</v>
      </c>
      <c r="BD45" s="130">
        <f t="shared" si="37"/>
        <v>1.0666345019834889</v>
      </c>
      <c r="BE45" s="130">
        <f t="shared" si="37"/>
        <v>1.0494037102473499</v>
      </c>
      <c r="BF45" s="130">
        <f t="shared" si="37"/>
        <v>1.0021541631544442</v>
      </c>
      <c r="BG45" s="130">
        <f t="shared" si="37"/>
        <v>1.0147566117286317</v>
      </c>
      <c r="BH45" s="130">
        <f t="shared" si="37"/>
        <v>1.133256306566532</v>
      </c>
      <c r="BI45" s="131">
        <f t="shared" si="37"/>
        <v>0.9547005275056516</v>
      </c>
      <c r="BJ45" s="130">
        <f t="shared" si="37"/>
        <v>0.9554140127388534</v>
      </c>
      <c r="BK45" s="130">
        <f t="shared" si="37"/>
        <v>0.90365630712979883</v>
      </c>
      <c r="BL45" s="130">
        <f t="shared" si="37"/>
        <v>1.015739385065886</v>
      </c>
      <c r="BM45" s="130">
        <f t="shared" si="37"/>
        <v>1.0965953913223998</v>
      </c>
      <c r="BN45" s="130">
        <f t="shared" si="37"/>
        <v>0.96450858034321374</v>
      </c>
      <c r="BO45" s="130">
        <f t="shared" ref="BO45:CC45" si="38">-(BO12+BO17+BO20+BO21+BO22)/BO29</f>
        <v>0.98990330378726843</v>
      </c>
      <c r="BP45" s="131">
        <f t="shared" si="38"/>
        <v>1.021607539652134</v>
      </c>
      <c r="BQ45" s="130">
        <f t="shared" si="38"/>
        <v>0.98401301077454773</v>
      </c>
      <c r="BR45" s="130">
        <f t="shared" si="38"/>
        <v>0.9474055703929799</v>
      </c>
      <c r="BS45" s="130">
        <f t="shared" si="38"/>
        <v>0.98198559373274785</v>
      </c>
      <c r="BT45" s="130">
        <f t="shared" si="38"/>
        <v>0.99409381941722208</v>
      </c>
      <c r="BU45" s="130">
        <f t="shared" si="38"/>
        <v>1.1601475519753224</v>
      </c>
      <c r="BV45" s="130">
        <f t="shared" si="38"/>
        <v>0.82237140391222274</v>
      </c>
      <c r="BW45" s="132">
        <f t="shared" si="38"/>
        <v>0.94583323835082078</v>
      </c>
      <c r="BX45" s="132">
        <f t="shared" si="38"/>
        <v>1.080886412105645</v>
      </c>
      <c r="BY45" s="132">
        <f t="shared" si="38"/>
        <v>1.262328730780522</v>
      </c>
      <c r="BZ45" s="130">
        <f t="shared" si="38"/>
        <v>1.0991469395394844</v>
      </c>
      <c r="CA45" s="130">
        <f t="shared" si="38"/>
        <v>1.530565657341727</v>
      </c>
      <c r="CB45" s="130">
        <f t="shared" si="38"/>
        <v>1.4325665143876989</v>
      </c>
      <c r="CC45" s="401">
        <f t="shared" si="38"/>
        <v>1.6519060815162316</v>
      </c>
      <c r="CD45" s="401">
        <f>-(CD12+CD17+CD20+CD21+CD22)/CD29</f>
        <v>1.8750595015611278</v>
      </c>
      <c r="CE45" s="369">
        <f>-(CE12+CE17+CE20+CE21+CE22)/CE29</f>
        <v>2.5592424568222487</v>
      </c>
    </row>
    <row r="46" spans="1:89" hidden="1" x14ac:dyDescent="0.2">
      <c r="A46" s="13"/>
      <c r="B46" s="6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4"/>
      <c r="AD46" s="174"/>
      <c r="AE46" s="174"/>
      <c r="AF46" s="174"/>
      <c r="AG46" s="174"/>
      <c r="AH46" s="174"/>
      <c r="AI46" s="174"/>
      <c r="AJ46" s="173"/>
      <c r="AK46" s="175"/>
      <c r="AL46" s="176"/>
      <c r="AM46" s="174"/>
      <c r="AN46" s="173"/>
      <c r="AO46" s="173"/>
      <c r="AP46" s="173"/>
      <c r="AQ46" s="173"/>
      <c r="AR46" s="173"/>
      <c r="AS46" s="175"/>
      <c r="AT46" s="174"/>
      <c r="AU46" s="174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7"/>
      <c r="BJ46" s="178"/>
      <c r="BK46" s="178"/>
      <c r="BL46" s="178"/>
      <c r="BM46" s="178"/>
      <c r="BN46" s="178"/>
      <c r="BO46" s="178"/>
      <c r="BP46" s="177"/>
      <c r="BQ46" s="178"/>
      <c r="BR46" s="178"/>
      <c r="BS46" s="178"/>
      <c r="BT46" s="178"/>
      <c r="BU46" s="178"/>
      <c r="BV46" s="178"/>
      <c r="BW46" s="325"/>
      <c r="BX46" s="325"/>
      <c r="BY46" s="325"/>
      <c r="BZ46" s="178"/>
      <c r="CA46" s="178"/>
      <c r="CB46" s="178"/>
      <c r="CC46" s="178"/>
      <c r="CD46" s="178"/>
      <c r="CE46" s="343"/>
    </row>
    <row r="47" spans="1:89" hidden="1" x14ac:dyDescent="0.2">
      <c r="A47" s="8" t="s">
        <v>25</v>
      </c>
      <c r="B47" s="9"/>
      <c r="C47" s="180" t="s">
        <v>41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2"/>
      <c r="AD47" s="182"/>
      <c r="AE47" s="182"/>
      <c r="AF47" s="182"/>
      <c r="AG47" s="182"/>
      <c r="AH47" s="182"/>
      <c r="AI47" s="182"/>
      <c r="AJ47" s="181"/>
      <c r="AK47" s="10"/>
      <c r="AL47" s="183"/>
      <c r="AM47" s="182"/>
      <c r="AN47" s="181"/>
      <c r="AO47" s="181"/>
      <c r="AP47" s="181"/>
      <c r="AQ47" s="181"/>
      <c r="AR47" s="181"/>
      <c r="AS47" s="10"/>
      <c r="AT47" s="182"/>
      <c r="AU47" s="182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4"/>
      <c r="BJ47" s="185"/>
      <c r="BK47" s="185"/>
      <c r="BL47" s="185"/>
      <c r="BM47" s="185"/>
      <c r="BN47" s="185"/>
      <c r="BO47" s="185"/>
      <c r="BP47" s="184"/>
      <c r="BQ47" s="185"/>
      <c r="BR47" s="185"/>
      <c r="BS47" s="185"/>
      <c r="BT47" s="185"/>
      <c r="BU47" s="185"/>
      <c r="BV47" s="185"/>
      <c r="BW47" s="326"/>
      <c r="BX47" s="326"/>
      <c r="BY47" s="326"/>
      <c r="BZ47" s="185"/>
      <c r="CA47" s="185"/>
      <c r="CB47" s="185"/>
      <c r="CC47" s="185"/>
      <c r="CD47" s="185"/>
      <c r="CE47" s="344"/>
    </row>
    <row r="48" spans="1:89" hidden="1" x14ac:dyDescent="0.2">
      <c r="A48" s="11"/>
      <c r="B48" s="12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9"/>
      <c r="AD48" s="189"/>
      <c r="AE48" s="189"/>
      <c r="AF48" s="189"/>
      <c r="AG48" s="189"/>
      <c r="AH48" s="189"/>
      <c r="AI48" s="189"/>
      <c r="AJ48" s="188"/>
      <c r="AK48" s="3"/>
      <c r="AL48" s="190"/>
      <c r="AM48" s="189"/>
      <c r="AN48" s="188"/>
      <c r="AO48" s="188"/>
      <c r="AP48" s="188"/>
      <c r="AQ48" s="188"/>
      <c r="AR48" s="188"/>
      <c r="AS48" s="3"/>
      <c r="AT48" s="189"/>
      <c r="AU48" s="189"/>
      <c r="AV48" s="188"/>
      <c r="AW48" s="188"/>
      <c r="AX48" s="188"/>
      <c r="AY48" s="188"/>
      <c r="AZ48" s="188"/>
      <c r="BA48" s="188"/>
      <c r="BB48" s="188"/>
      <c r="BC48" s="188"/>
      <c r="BD48" s="188"/>
      <c r="BE48" s="188"/>
      <c r="BF48" s="188"/>
      <c r="BG48" s="188"/>
      <c r="BH48" s="188"/>
      <c r="BI48" s="191"/>
      <c r="BJ48" s="192"/>
      <c r="BK48" s="192"/>
      <c r="BL48" s="192"/>
      <c r="BM48" s="192"/>
      <c r="BN48" s="192"/>
      <c r="BO48" s="192"/>
      <c r="BP48" s="191"/>
      <c r="BQ48" s="192"/>
      <c r="BR48" s="192"/>
      <c r="BS48" s="192"/>
      <c r="BT48" s="192"/>
      <c r="BU48" s="192"/>
      <c r="BV48" s="192"/>
      <c r="BW48" s="327"/>
      <c r="BX48" s="327"/>
      <c r="BY48" s="327"/>
      <c r="BZ48" s="192"/>
      <c r="CA48" s="192"/>
      <c r="CB48" s="192"/>
      <c r="CC48" s="192"/>
      <c r="CD48" s="192"/>
      <c r="CE48" s="345"/>
    </row>
    <row r="49" spans="1:257" hidden="1" x14ac:dyDescent="0.2">
      <c r="A49" s="25"/>
      <c r="B49" s="195"/>
      <c r="C49" s="27" t="s">
        <v>0</v>
      </c>
      <c r="D49" s="27" t="s">
        <v>1</v>
      </c>
      <c r="E49" s="27" t="s">
        <v>2</v>
      </c>
      <c r="F49" s="27" t="s">
        <v>3</v>
      </c>
      <c r="G49" s="27" t="s">
        <v>4</v>
      </c>
      <c r="H49" s="27" t="s">
        <v>5</v>
      </c>
      <c r="I49" s="27" t="s">
        <v>6</v>
      </c>
      <c r="J49" s="27" t="s">
        <v>44</v>
      </c>
      <c r="K49" s="27" t="s">
        <v>8</v>
      </c>
      <c r="L49" s="27" t="s">
        <v>9</v>
      </c>
      <c r="M49" s="27" t="s">
        <v>10</v>
      </c>
      <c r="N49" s="27" t="s">
        <v>11</v>
      </c>
      <c r="O49" s="27" t="s">
        <v>12</v>
      </c>
      <c r="P49" s="27" t="s">
        <v>13</v>
      </c>
      <c r="Q49" s="27" t="s">
        <v>14</v>
      </c>
      <c r="R49" s="27" t="s">
        <v>7</v>
      </c>
      <c r="S49" s="27" t="s">
        <v>15</v>
      </c>
      <c r="T49" s="27" t="s">
        <v>16</v>
      </c>
      <c r="U49" s="27" t="s">
        <v>17</v>
      </c>
      <c r="V49" s="27" t="s">
        <v>18</v>
      </c>
      <c r="W49" s="27" t="s">
        <v>19</v>
      </c>
      <c r="X49" s="27" t="s">
        <v>20</v>
      </c>
      <c r="Y49" s="27" t="s">
        <v>21</v>
      </c>
      <c r="Z49" s="27" t="s">
        <v>22</v>
      </c>
      <c r="AA49" s="27" t="s">
        <v>23</v>
      </c>
      <c r="AB49" s="27" t="s">
        <v>24</v>
      </c>
      <c r="AC49" s="28"/>
      <c r="AD49" s="28"/>
      <c r="AE49" s="28"/>
      <c r="AF49" s="28"/>
      <c r="AG49" s="28"/>
      <c r="AH49" s="28"/>
      <c r="AI49" s="28"/>
      <c r="AJ49" s="27"/>
      <c r="AK49" s="20"/>
      <c r="AL49" s="196"/>
      <c r="AM49" s="18"/>
      <c r="AN49" s="17"/>
      <c r="AO49" s="17"/>
      <c r="AP49" s="17"/>
      <c r="AQ49" s="17"/>
      <c r="AR49" s="17"/>
      <c r="AS49" s="20"/>
      <c r="AT49" s="18"/>
      <c r="AU49" s="18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97"/>
      <c r="BJ49" s="198"/>
      <c r="BK49" s="198"/>
      <c r="BL49" s="198"/>
      <c r="BM49" s="198"/>
      <c r="BN49" s="198"/>
      <c r="BO49" s="198"/>
      <c r="BP49" s="197"/>
      <c r="BQ49" s="198"/>
      <c r="BR49" s="198"/>
      <c r="BS49" s="198"/>
      <c r="BT49" s="198"/>
      <c r="BU49" s="198"/>
      <c r="BV49" s="198"/>
      <c r="BW49" s="328"/>
      <c r="BX49" s="328"/>
      <c r="BY49" s="328"/>
      <c r="BZ49" s="198"/>
      <c r="CA49" s="198"/>
      <c r="CB49" s="198"/>
      <c r="CC49" s="198"/>
      <c r="CD49" s="198"/>
      <c r="CE49" s="346"/>
    </row>
    <row r="50" spans="1:257" x14ac:dyDescent="0.2">
      <c r="A50" s="11" t="s">
        <v>109</v>
      </c>
      <c r="B50" s="12"/>
      <c r="C50" s="200">
        <f t="shared" ref="C50:AH50" si="39">-C29/C23</f>
        <v>1.044875</v>
      </c>
      <c r="D50" s="200">
        <f t="shared" si="39"/>
        <v>1.1310909090909091</v>
      </c>
      <c r="E50" s="200">
        <f t="shared" si="39"/>
        <v>0.95458333333333323</v>
      </c>
      <c r="F50" s="200">
        <f t="shared" si="39"/>
        <v>0.6720454545454545</v>
      </c>
      <c r="G50" s="200">
        <f t="shared" si="39"/>
        <v>0.91760942760942765</v>
      </c>
      <c r="H50" s="200">
        <f t="shared" si="39"/>
        <v>0.97138211382113815</v>
      </c>
      <c r="I50" s="200">
        <f t="shared" si="39"/>
        <v>0.72890728476821187</v>
      </c>
      <c r="J50" s="200">
        <f t="shared" si="39"/>
        <v>0.58955380577427818</v>
      </c>
      <c r="K50" s="200">
        <f t="shared" si="39"/>
        <v>0.7901341261061946</v>
      </c>
      <c r="L50" s="200">
        <f t="shared" si="39"/>
        <v>0.63485997492088142</v>
      </c>
      <c r="M50" s="200">
        <f t="shared" si="39"/>
        <v>0.51078359125521977</v>
      </c>
      <c r="N50" s="200">
        <f t="shared" si="39"/>
        <v>0.55488041370394325</v>
      </c>
      <c r="O50" s="200">
        <f t="shared" si="39"/>
        <v>0.42310044335728481</v>
      </c>
      <c r="P50" s="200">
        <f t="shared" si="39"/>
        <v>0.51027397260273966</v>
      </c>
      <c r="Q50" s="200">
        <f t="shared" si="39"/>
        <v>0.58543479878003424</v>
      </c>
      <c r="R50" s="200">
        <f t="shared" si="39"/>
        <v>0.58857278590875051</v>
      </c>
      <c r="S50" s="200">
        <f t="shared" si="39"/>
        <v>0.54662828947368425</v>
      </c>
      <c r="T50" s="200">
        <f t="shared" si="39"/>
        <v>0.52579009684568434</v>
      </c>
      <c r="U50" s="200">
        <f t="shared" si="39"/>
        <v>0.41454634040710264</v>
      </c>
      <c r="V50" s="200">
        <f t="shared" si="39"/>
        <v>0.46502497358563061</v>
      </c>
      <c r="W50" s="200">
        <f t="shared" si="39"/>
        <v>0.3850384771162414</v>
      </c>
      <c r="X50" s="200">
        <f t="shared" si="39"/>
        <v>0.50416932907348244</v>
      </c>
      <c r="Y50" s="200">
        <f t="shared" si="39"/>
        <v>0.46376292530760799</v>
      </c>
      <c r="Z50" s="200">
        <f t="shared" si="39"/>
        <v>0.49456808174229405</v>
      </c>
      <c r="AA50" s="200">
        <f t="shared" si="39"/>
        <v>0.43030990460003704</v>
      </c>
      <c r="AB50" s="200">
        <f t="shared" si="39"/>
        <v>0.46806808128496652</v>
      </c>
      <c r="AC50" s="200">
        <f t="shared" si="39"/>
        <v>0.41926958829309235</v>
      </c>
      <c r="AD50" s="200">
        <f t="shared" si="39"/>
        <v>0.45853172006676279</v>
      </c>
      <c r="AE50" s="200">
        <f t="shared" si="39"/>
        <v>0.49532064756377442</v>
      </c>
      <c r="AF50" s="200">
        <f t="shared" si="39"/>
        <v>0.54354618817750544</v>
      </c>
      <c r="AG50" s="200">
        <f t="shared" si="39"/>
        <v>0.47371277935700323</v>
      </c>
      <c r="AH50" s="200">
        <f t="shared" si="39"/>
        <v>0.59488255409175261</v>
      </c>
      <c r="AI50" s="200">
        <f t="shared" ref="AI50:BN50" si="40">-AI29/AI23</f>
        <v>0.50413094318956864</v>
      </c>
      <c r="AJ50" s="200">
        <f t="shared" si="40"/>
        <v>0.45240021256557778</v>
      </c>
      <c r="AK50" s="201">
        <f t="shared" si="40"/>
        <v>0.39446659363475323</v>
      </c>
      <c r="AL50" s="202">
        <f t="shared" si="40"/>
        <v>0.45537597180841055</v>
      </c>
      <c r="AM50" s="201">
        <f t="shared" si="40"/>
        <v>0.41583209291803275</v>
      </c>
      <c r="AN50" s="202">
        <f t="shared" si="40"/>
        <v>0.48049549872227026</v>
      </c>
      <c r="AO50" s="202">
        <f t="shared" si="40"/>
        <v>0.45943110654082053</v>
      </c>
      <c r="AP50" s="202">
        <f t="shared" si="40"/>
        <v>0.48568918608740425</v>
      </c>
      <c r="AQ50" s="202">
        <f t="shared" si="40"/>
        <v>0.41035555717229161</v>
      </c>
      <c r="AR50" s="202">
        <f t="shared" si="40"/>
        <v>0.55929321839216639</v>
      </c>
      <c r="AS50" s="203">
        <f t="shared" si="40"/>
        <v>0.42564645394794026</v>
      </c>
      <c r="AT50" s="201">
        <f t="shared" si="40"/>
        <v>0.59630389586105437</v>
      </c>
      <c r="AU50" s="201">
        <f t="shared" si="40"/>
        <v>0.5516849028493388</v>
      </c>
      <c r="AV50" s="202">
        <f t="shared" si="40"/>
        <v>0.64912597267618899</v>
      </c>
      <c r="AW50" s="202">
        <f t="shared" si="40"/>
        <v>0.65184825796145984</v>
      </c>
      <c r="AX50" s="202">
        <f t="shared" si="40"/>
        <v>0.70828092045755364</v>
      </c>
      <c r="AY50" s="202">
        <f t="shared" si="40"/>
        <v>0.63111245890566725</v>
      </c>
      <c r="AZ50" s="202">
        <f t="shared" si="40"/>
        <v>0.72899452933408793</v>
      </c>
      <c r="BA50" s="202">
        <f t="shared" si="40"/>
        <v>0.49829560254130756</v>
      </c>
      <c r="BB50" s="202">
        <f t="shared" si="40"/>
        <v>0.58673722821797758</v>
      </c>
      <c r="BC50" s="202">
        <f t="shared" si="40"/>
        <v>0.54781652248877788</v>
      </c>
      <c r="BD50" s="202">
        <f t="shared" si="40"/>
        <v>0.58190098886358665</v>
      </c>
      <c r="BE50" s="202">
        <f t="shared" si="40"/>
        <v>0.56027815929816749</v>
      </c>
      <c r="BF50" s="202">
        <f t="shared" si="40"/>
        <v>0.56822778073443325</v>
      </c>
      <c r="BG50" s="202">
        <f t="shared" si="40"/>
        <v>0.47674737322978528</v>
      </c>
      <c r="BH50" s="202">
        <f t="shared" si="40"/>
        <v>0.46016836508639791</v>
      </c>
      <c r="BI50" s="203">
        <f t="shared" si="40"/>
        <v>0.46172092459980496</v>
      </c>
      <c r="BJ50" s="202">
        <f t="shared" si="40"/>
        <v>0.43960000000000005</v>
      </c>
      <c r="BK50" s="202">
        <f t="shared" si="40"/>
        <v>0.4882620726591092</v>
      </c>
      <c r="BL50" s="202">
        <f t="shared" si="40"/>
        <v>0.49537624660018126</v>
      </c>
      <c r="BM50" s="202">
        <f t="shared" si="40"/>
        <v>0.44062091234232487</v>
      </c>
      <c r="BN50" s="202">
        <f t="shared" si="40"/>
        <v>0.52283849918433933</v>
      </c>
      <c r="BO50" s="202">
        <f t="shared" ref="BO50:CC50" si="41">-BO29/BO23</f>
        <v>0.50767651065466135</v>
      </c>
      <c r="BP50" s="203">
        <f t="shared" si="41"/>
        <v>0.55880967672875181</v>
      </c>
      <c r="BQ50" s="202">
        <f t="shared" si="41"/>
        <v>0.54253117982609</v>
      </c>
      <c r="BR50" s="202">
        <f t="shared" si="41"/>
        <v>0.58074522692861619</v>
      </c>
      <c r="BS50" s="202">
        <f t="shared" si="41"/>
        <v>0.56081559238072776</v>
      </c>
      <c r="BT50" s="202">
        <f t="shared" si="41"/>
        <v>0.62810857222817307</v>
      </c>
      <c r="BU50" s="202">
        <f t="shared" si="41"/>
        <v>0.50378584118214309</v>
      </c>
      <c r="BV50" s="202">
        <f t="shared" si="41"/>
        <v>0.71009923058789504</v>
      </c>
      <c r="BW50" s="201">
        <f t="shared" si="41"/>
        <v>0.61363713081457771</v>
      </c>
      <c r="BX50" s="201">
        <f t="shared" si="41"/>
        <v>0.58370041094769543</v>
      </c>
      <c r="BY50" s="201">
        <f t="shared" si="41"/>
        <v>0.47410784323485378</v>
      </c>
      <c r="BZ50" s="202">
        <f t="shared" si="41"/>
        <v>0.5691882954158477</v>
      </c>
      <c r="CA50" s="202">
        <f t="shared" si="41"/>
        <v>0.33026543589580559</v>
      </c>
      <c r="CB50" s="202">
        <f t="shared" si="41"/>
        <v>0.35268540046132113</v>
      </c>
      <c r="CC50" s="202">
        <f t="shared" si="41"/>
        <v>0.30794069651960398</v>
      </c>
      <c r="CD50" s="202">
        <f>-CD29/CD23</f>
        <v>0.31318770006442537</v>
      </c>
      <c r="CE50" s="347">
        <f>-CE29/CE23</f>
        <v>0.2115922620178417</v>
      </c>
    </row>
    <row r="51" spans="1:257" x14ac:dyDescent="0.2">
      <c r="A51" s="11"/>
      <c r="B51" s="12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6"/>
      <c r="AD51" s="206"/>
      <c r="AE51" s="206"/>
      <c r="AF51" s="206"/>
      <c r="AG51" s="206"/>
      <c r="AH51" s="206"/>
      <c r="AI51" s="206"/>
      <c r="AJ51" s="205"/>
      <c r="AK51" s="207"/>
      <c r="AL51" s="205"/>
      <c r="AM51" s="206"/>
      <c r="AN51" s="205"/>
      <c r="AO51" s="205"/>
      <c r="AP51" s="205"/>
      <c r="AQ51" s="205"/>
      <c r="AR51" s="205"/>
      <c r="AS51" s="207"/>
      <c r="AT51" s="206"/>
      <c r="AU51" s="206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6"/>
      <c r="BJ51" s="205"/>
      <c r="BK51" s="205"/>
      <c r="BL51" s="205"/>
      <c r="BM51" s="205"/>
      <c r="BN51" s="205"/>
      <c r="BO51" s="205"/>
      <c r="BP51" s="207"/>
      <c r="BQ51" s="205"/>
      <c r="BR51" s="207"/>
      <c r="BS51" s="205"/>
      <c r="BT51" s="205"/>
      <c r="BU51" s="205"/>
      <c r="BV51" s="205"/>
      <c r="BW51" s="206"/>
      <c r="BX51" s="206"/>
      <c r="BY51" s="206"/>
      <c r="BZ51" s="205"/>
      <c r="CA51" s="205"/>
      <c r="CB51" s="205"/>
      <c r="CC51" s="402"/>
      <c r="CD51" s="402"/>
      <c r="CE51" s="370"/>
    </row>
    <row r="52" spans="1:257" x14ac:dyDescent="0.2">
      <c r="A52" s="39" t="s">
        <v>110</v>
      </c>
      <c r="B52" s="225">
        <v>355.3</v>
      </c>
      <c r="C52" s="41">
        <v>349.8</v>
      </c>
      <c r="D52" s="41">
        <v>323.2</v>
      </c>
      <c r="E52" s="41">
        <v>351.4</v>
      </c>
      <c r="F52" s="41">
        <v>178.2</v>
      </c>
      <c r="G52" s="41">
        <v>178.5</v>
      </c>
      <c r="H52" s="41">
        <v>177.4</v>
      </c>
      <c r="I52" s="41">
        <v>182.1</v>
      </c>
      <c r="J52" s="41">
        <v>192</v>
      </c>
      <c r="K52" s="41">
        <v>194.7</v>
      </c>
      <c r="L52" s="41">
        <v>201.9</v>
      </c>
      <c r="M52" s="41">
        <v>214.8</v>
      </c>
      <c r="N52" s="41">
        <v>228.3</v>
      </c>
      <c r="O52" s="41">
        <v>227.2</v>
      </c>
      <c r="P52" s="41">
        <v>243</v>
      </c>
      <c r="Q52" s="41">
        <v>253.5</v>
      </c>
      <c r="R52" s="41">
        <v>267</v>
      </c>
      <c r="S52" s="41">
        <v>263.89999999999998</v>
      </c>
      <c r="T52" s="41">
        <v>285.89999999999998</v>
      </c>
      <c r="U52" s="41">
        <v>318.89999999999998</v>
      </c>
      <c r="V52" s="41">
        <v>353.7</v>
      </c>
      <c r="W52" s="41">
        <v>409</v>
      </c>
      <c r="X52" s="41">
        <v>399</v>
      </c>
      <c r="Y52" s="41">
        <v>434.9</v>
      </c>
      <c r="Z52" s="41">
        <v>488.8</v>
      </c>
      <c r="AA52" s="41">
        <v>434.8</v>
      </c>
      <c r="AB52" s="41">
        <v>489.1</v>
      </c>
      <c r="AC52" s="42">
        <v>549</v>
      </c>
      <c r="AD52" s="42">
        <v>573</v>
      </c>
      <c r="AE52" s="42">
        <v>627</v>
      </c>
      <c r="AF52" s="42">
        <v>527</v>
      </c>
      <c r="AG52" s="42">
        <v>583</v>
      </c>
      <c r="AH52" s="42">
        <v>628</v>
      </c>
      <c r="AI52" s="42">
        <v>672</v>
      </c>
      <c r="AJ52" s="41">
        <v>570</v>
      </c>
      <c r="AK52" s="43">
        <v>630</v>
      </c>
      <c r="AL52" s="41">
        <v>693</v>
      </c>
      <c r="AM52" s="42">
        <v>767</v>
      </c>
      <c r="AN52" s="41">
        <v>647</v>
      </c>
      <c r="AO52" s="41">
        <v>729</v>
      </c>
      <c r="AP52" s="41">
        <v>813</v>
      </c>
      <c r="AQ52" s="41">
        <v>903</v>
      </c>
      <c r="AR52" s="41">
        <v>778</v>
      </c>
      <c r="AS52" s="43">
        <v>839.93</v>
      </c>
      <c r="AT52" s="42">
        <v>875.36</v>
      </c>
      <c r="AU52" s="42">
        <v>935</v>
      </c>
      <c r="AV52" s="41">
        <v>766</v>
      </c>
      <c r="AW52" s="41">
        <v>798</v>
      </c>
      <c r="AX52" s="41">
        <v>828</v>
      </c>
      <c r="AY52" s="41">
        <v>873</v>
      </c>
      <c r="AZ52" s="41">
        <v>678</v>
      </c>
      <c r="BA52" s="41">
        <v>740</v>
      </c>
      <c r="BB52" s="41">
        <v>794</v>
      </c>
      <c r="BC52" s="41">
        <v>859</v>
      </c>
      <c r="BD52" s="41">
        <v>683</v>
      </c>
      <c r="BE52" s="41">
        <v>747</v>
      </c>
      <c r="BF52" s="41">
        <v>815</v>
      </c>
      <c r="BG52" s="41">
        <v>712</v>
      </c>
      <c r="BH52" s="41">
        <v>909</v>
      </c>
      <c r="BI52" s="42">
        <v>1007</v>
      </c>
      <c r="BJ52" s="41">
        <v>1126</v>
      </c>
      <c r="BK52" s="41">
        <v>1224</v>
      </c>
      <c r="BL52" s="41">
        <v>1093</v>
      </c>
      <c r="BM52" s="41">
        <v>1207</v>
      </c>
      <c r="BN52" s="41">
        <v>1308</v>
      </c>
      <c r="BO52" s="41">
        <v>1098</v>
      </c>
      <c r="BP52" s="43">
        <v>1186</v>
      </c>
      <c r="BQ52" s="41">
        <v>1329</v>
      </c>
      <c r="BR52" s="43">
        <v>1427</v>
      </c>
      <c r="BS52" s="41">
        <v>1248.5073407846701</v>
      </c>
      <c r="BT52" s="41">
        <v>1323.5434867709901</v>
      </c>
      <c r="BU52" s="41">
        <v>1538.16049786965</v>
      </c>
      <c r="BV52" s="41">
        <f>1649.3034072737-35</f>
        <v>1614.3034072737</v>
      </c>
      <c r="BW52" s="42">
        <v>1415.9471724044899</v>
      </c>
      <c r="BX52" s="42">
        <v>1529.0269816428399</v>
      </c>
      <c r="BY52" s="42">
        <v>1839.2725028754201</v>
      </c>
      <c r="BZ52" s="41">
        <v>1945.3174540872683</v>
      </c>
      <c r="CA52" s="41">
        <v>1837.5128891920999</v>
      </c>
      <c r="CB52" s="41">
        <v>2172.8362374911799</v>
      </c>
      <c r="CC52" s="393">
        <v>2615.5433411971198</v>
      </c>
      <c r="CD52" s="393">
        <v>3172.1498589487301</v>
      </c>
      <c r="CE52" s="362">
        <v>3669.9004980705199</v>
      </c>
      <c r="CF52" s="463"/>
      <c r="CI52" s="428"/>
      <c r="CJ52" s="428"/>
    </row>
    <row r="53" spans="1:257" x14ac:dyDescent="0.2">
      <c r="A53" s="47" t="s">
        <v>153</v>
      </c>
      <c r="B53" s="48"/>
      <c r="C53" s="137" t="s">
        <v>47</v>
      </c>
      <c r="D53" s="137" t="s">
        <v>47</v>
      </c>
      <c r="E53" s="274">
        <f t="shared" ref="E53:AJ53" si="42">E39/((D52+E52)/2)*4</f>
        <v>8.3761636525348498E-3</v>
      </c>
      <c r="F53" s="274">
        <f t="shared" si="42"/>
        <v>0.12555407854984901</v>
      </c>
      <c r="G53" s="274">
        <f t="shared" si="42"/>
        <v>3.9514213624894858E-2</v>
      </c>
      <c r="H53" s="274">
        <f t="shared" si="42"/>
        <v>9.7753301489182463E-3</v>
      </c>
      <c r="I53" s="274">
        <f t="shared" si="42"/>
        <v>0.13277641168289289</v>
      </c>
      <c r="J53" s="274">
        <f t="shared" si="42"/>
        <v>0.23923785084202079</v>
      </c>
      <c r="K53" s="274">
        <f t="shared" si="42"/>
        <v>9.0429169899146691E-2</v>
      </c>
      <c r="L53" s="274">
        <f t="shared" si="42"/>
        <v>0.17762178517397878</v>
      </c>
      <c r="M53" s="274">
        <f t="shared" si="42"/>
        <v>0.27529676025917926</v>
      </c>
      <c r="N53" s="274">
        <f t="shared" si="42"/>
        <v>0.2685400135409613</v>
      </c>
      <c r="O53" s="274">
        <f t="shared" si="42"/>
        <v>0.4771758507135016</v>
      </c>
      <c r="P53" s="274">
        <f t="shared" si="42"/>
        <v>0.2960483198638878</v>
      </c>
      <c r="Q53" s="274">
        <f t="shared" si="42"/>
        <v>0.19396060422960729</v>
      </c>
      <c r="R53" s="274">
        <f t="shared" si="42"/>
        <v>0.24917948126801137</v>
      </c>
      <c r="S53" s="274">
        <f t="shared" si="42"/>
        <v>0.29836127330947443</v>
      </c>
      <c r="T53" s="274">
        <f t="shared" si="42"/>
        <v>0.32139687158966923</v>
      </c>
      <c r="U53" s="274">
        <f t="shared" si="42"/>
        <v>0.41773809523809524</v>
      </c>
      <c r="V53" s="274">
        <f t="shared" si="42"/>
        <v>0.38645257210823675</v>
      </c>
      <c r="W53" s="274">
        <f t="shared" si="42"/>
        <v>0.57812508194571921</v>
      </c>
      <c r="X53" s="274">
        <f t="shared" si="42"/>
        <v>0.4482970297029702</v>
      </c>
      <c r="Y53" s="274">
        <f t="shared" si="42"/>
        <v>0.32343446456409625</v>
      </c>
      <c r="Z53" s="274">
        <f t="shared" si="42"/>
        <v>0.46732055862292959</v>
      </c>
      <c r="AA53" s="274">
        <f t="shared" si="42"/>
        <v>0.48586671424859229</v>
      </c>
      <c r="AB53" s="274">
        <f t="shared" si="42"/>
        <v>0.47352197458599421</v>
      </c>
      <c r="AC53" s="274">
        <f t="shared" si="42"/>
        <v>0.4376541751199306</v>
      </c>
      <c r="AD53" s="274">
        <f t="shared" si="42"/>
        <v>0.45940663001782528</v>
      </c>
      <c r="AE53" s="274">
        <f t="shared" si="42"/>
        <v>0.35208686133333345</v>
      </c>
      <c r="AF53" s="274">
        <f t="shared" si="42"/>
        <v>0.31273458953206251</v>
      </c>
      <c r="AG53" s="274">
        <f t="shared" si="42"/>
        <v>0.34835649585585576</v>
      </c>
      <c r="AH53" s="274">
        <f t="shared" si="42"/>
        <v>0.25788375845747319</v>
      </c>
      <c r="AI53" s="274">
        <f t="shared" si="42"/>
        <v>0.27443922211795069</v>
      </c>
      <c r="AJ53" s="274">
        <f t="shared" si="42"/>
        <v>0.38680590677938809</v>
      </c>
      <c r="AK53" s="274">
        <f t="shared" ref="AK53:BP53" si="43">AK39/((AJ52+AK52)/2)*4</f>
        <v>0.39760212286666674</v>
      </c>
      <c r="AL53" s="274">
        <f t="shared" si="43"/>
        <v>0.38646839310657594</v>
      </c>
      <c r="AM53" s="274">
        <f t="shared" si="43"/>
        <v>0.40046907304109591</v>
      </c>
      <c r="AN53" s="274">
        <f t="shared" si="43"/>
        <v>0.38206303530410179</v>
      </c>
      <c r="AO53" s="274">
        <f t="shared" si="43"/>
        <v>0.35263379401681977</v>
      </c>
      <c r="AP53" s="274">
        <f t="shared" si="43"/>
        <v>0.35763928357976654</v>
      </c>
      <c r="AQ53" s="274">
        <f t="shared" si="43"/>
        <v>0.41572013062937069</v>
      </c>
      <c r="AR53" s="274">
        <f t="shared" si="43"/>
        <v>0.27315242122546107</v>
      </c>
      <c r="AS53" s="274">
        <f t="shared" si="43"/>
        <v>0.43414677638711197</v>
      </c>
      <c r="AT53" s="274">
        <f t="shared" si="43"/>
        <v>0.25792352224988196</v>
      </c>
      <c r="AU53" s="274">
        <f t="shared" si="43"/>
        <v>0.26610874743145013</v>
      </c>
      <c r="AV53" s="274">
        <f t="shared" si="43"/>
        <v>0.18160421627613887</v>
      </c>
      <c r="AW53" s="274">
        <f t="shared" si="43"/>
        <v>0.16173421223235296</v>
      </c>
      <c r="AX53" s="274">
        <f t="shared" si="43"/>
        <v>0.14520261295510453</v>
      </c>
      <c r="AY53" s="274">
        <f t="shared" si="43"/>
        <v>0.20939682539682553</v>
      </c>
      <c r="AZ53" s="274">
        <f t="shared" si="43"/>
        <v>0.16977433913604129</v>
      </c>
      <c r="BA53" s="274">
        <f t="shared" si="43"/>
        <v>0.3478343582510578</v>
      </c>
      <c r="BB53" s="274">
        <f t="shared" si="43"/>
        <v>0.2827740651890483</v>
      </c>
      <c r="BC53" s="274">
        <f t="shared" si="43"/>
        <v>0.31581367211131289</v>
      </c>
      <c r="BD53" s="274">
        <f t="shared" si="43"/>
        <v>0.28785992217898848</v>
      </c>
      <c r="BE53" s="274">
        <f t="shared" si="43"/>
        <v>0.33887552447552433</v>
      </c>
      <c r="BF53" s="274">
        <f t="shared" si="43"/>
        <v>0.34944942381562089</v>
      </c>
      <c r="BG53" s="274">
        <f t="shared" si="43"/>
        <v>0.51625409299279634</v>
      </c>
      <c r="BH53" s="274">
        <f t="shared" si="43"/>
        <v>0.5174090067859346</v>
      </c>
      <c r="BI53" s="274">
        <f t="shared" si="43"/>
        <v>0.39078134446764096</v>
      </c>
      <c r="BJ53" s="274">
        <f t="shared" si="43"/>
        <v>0.4433192686357243</v>
      </c>
      <c r="BK53" s="274">
        <f t="shared" si="43"/>
        <v>0.33552340425531918</v>
      </c>
      <c r="BL53" s="274">
        <f t="shared" si="43"/>
        <v>0.32524816573154941</v>
      </c>
      <c r="BM53" s="274">
        <f t="shared" si="43"/>
        <v>0.36569043478260882</v>
      </c>
      <c r="BN53" s="274">
        <f t="shared" si="43"/>
        <v>0.32127236580516899</v>
      </c>
      <c r="BO53" s="274">
        <f t="shared" si="43"/>
        <v>0.34301579384871156</v>
      </c>
      <c r="BP53" s="274">
        <f t="shared" si="43"/>
        <v>0.31001751313485121</v>
      </c>
      <c r="BQ53" s="274">
        <f t="shared" ref="BQ53:BY53" si="44">BQ39/((BP52+BQ52)/2)*4</f>
        <v>0.2822298210735586</v>
      </c>
      <c r="BR53" s="274">
        <f t="shared" si="44"/>
        <v>0.28454571843251097</v>
      </c>
      <c r="BS53" s="274">
        <f t="shared" si="44"/>
        <v>0.30985375646806002</v>
      </c>
      <c r="BT53" s="274">
        <f t="shared" si="44"/>
        <v>0.24642125777986171</v>
      </c>
      <c r="BU53" s="274">
        <f t="shared" si="44"/>
        <v>0.29726859311625059</v>
      </c>
      <c r="BV53" s="274">
        <f t="shared" si="44"/>
        <v>0.1519704481471508</v>
      </c>
      <c r="BW53" s="329">
        <f t="shared" si="44"/>
        <v>0.22970642788236537</v>
      </c>
      <c r="BX53" s="329">
        <f t="shared" si="44"/>
        <v>0.27448712411815751</v>
      </c>
      <c r="BY53" s="329">
        <f t="shared" si="44"/>
        <v>0.32718216808391681</v>
      </c>
      <c r="BZ53" s="274">
        <f t="shared" ref="BZ53:CE53" si="45">BZ39/((BY52+BZ52)/2)*4</f>
        <v>0.25591773282408764</v>
      </c>
      <c r="CA53" s="274">
        <f t="shared" si="45"/>
        <v>0.64446457631121845</v>
      </c>
      <c r="CB53" s="274">
        <f t="shared" si="45"/>
        <v>0.55999362739022363</v>
      </c>
      <c r="CC53" s="340">
        <f t="shared" si="45"/>
        <v>0.55321694528928034</v>
      </c>
      <c r="CD53" s="340">
        <f t="shared" si="45"/>
        <v>0.57776230543492169</v>
      </c>
      <c r="CE53" s="427">
        <f t="shared" si="45"/>
        <v>0.738592715099888</v>
      </c>
      <c r="CF53" s="122"/>
    </row>
    <row r="54" spans="1:257" ht="15" x14ac:dyDescent="0.2">
      <c r="A54" s="47" t="s">
        <v>202</v>
      </c>
      <c r="B54" s="48"/>
      <c r="C54" s="101" t="s">
        <v>37</v>
      </c>
      <c r="D54" s="101" t="s">
        <v>37</v>
      </c>
      <c r="E54" s="101" t="s">
        <v>37</v>
      </c>
      <c r="F54" s="101" t="s">
        <v>37</v>
      </c>
      <c r="G54" s="101" t="s">
        <v>37</v>
      </c>
      <c r="H54" s="101" t="s">
        <v>37</v>
      </c>
      <c r="I54" s="101" t="s">
        <v>37</v>
      </c>
      <c r="J54" s="101" t="s">
        <v>37</v>
      </c>
      <c r="K54" s="101" t="s">
        <v>37</v>
      </c>
      <c r="L54" s="101" t="s">
        <v>37</v>
      </c>
      <c r="M54" s="101" t="s">
        <v>37</v>
      </c>
      <c r="N54" s="101" t="s">
        <v>37</v>
      </c>
      <c r="O54" s="101" t="s">
        <v>37</v>
      </c>
      <c r="P54" s="101" t="s">
        <v>37</v>
      </c>
      <c r="Q54" s="101" t="s">
        <v>37</v>
      </c>
      <c r="R54" s="101" t="s">
        <v>37</v>
      </c>
      <c r="S54" s="101" t="s">
        <v>37</v>
      </c>
      <c r="T54" s="101" t="s">
        <v>37</v>
      </c>
      <c r="U54" s="101" t="s">
        <v>37</v>
      </c>
      <c r="V54" s="101" t="s">
        <v>37</v>
      </c>
      <c r="W54" s="101" t="s">
        <v>37</v>
      </c>
      <c r="X54" s="101" t="s">
        <v>37</v>
      </c>
      <c r="Y54" s="101" t="s">
        <v>37</v>
      </c>
      <c r="Z54" s="101" t="s">
        <v>37</v>
      </c>
      <c r="AA54" s="101">
        <v>2.33</v>
      </c>
      <c r="AB54" s="101">
        <v>2.14</v>
      </c>
      <c r="AC54" s="103">
        <v>2.33</v>
      </c>
      <c r="AD54" s="103">
        <v>1.78</v>
      </c>
      <c r="AE54" s="103">
        <v>1.63</v>
      </c>
      <c r="AF54" s="103">
        <v>1.77</v>
      </c>
      <c r="AG54" s="103">
        <v>1.93</v>
      </c>
      <c r="AH54" s="103">
        <v>1.68</v>
      </c>
      <c r="AI54" s="103">
        <v>1.58</v>
      </c>
      <c r="AJ54" s="101">
        <v>1.67</v>
      </c>
      <c r="AK54" s="102">
        <v>1.76</v>
      </c>
      <c r="AL54" s="101">
        <v>1.71</v>
      </c>
      <c r="AM54" s="103">
        <v>1.55</v>
      </c>
      <c r="AN54" s="101">
        <v>1.65</v>
      </c>
      <c r="AO54" s="101">
        <v>1.69</v>
      </c>
      <c r="AP54" s="101">
        <v>1.84</v>
      </c>
      <c r="AQ54" s="101">
        <v>2.08</v>
      </c>
      <c r="AR54" s="101">
        <v>2.34</v>
      </c>
      <c r="AS54" s="102">
        <v>2.08</v>
      </c>
      <c r="AT54" s="103">
        <v>2.06</v>
      </c>
      <c r="AU54" s="103">
        <v>2.2200000000000002</v>
      </c>
      <c r="AV54" s="101">
        <v>2.34</v>
      </c>
      <c r="AW54" s="101">
        <v>2.41</v>
      </c>
      <c r="AX54" s="101">
        <v>2.21</v>
      </c>
      <c r="AY54" s="101">
        <v>2.2799999999999998</v>
      </c>
      <c r="AZ54" s="101">
        <v>2.21</v>
      </c>
      <c r="BA54" s="101">
        <v>2.2200000000000002</v>
      </c>
      <c r="BB54" s="101">
        <v>1.82</v>
      </c>
      <c r="BC54" s="101">
        <v>1.69</v>
      </c>
      <c r="BD54" s="101">
        <v>1.59</v>
      </c>
      <c r="BE54" s="101">
        <v>1.35</v>
      </c>
      <c r="BF54" s="101">
        <v>1.72</v>
      </c>
      <c r="BG54" s="101">
        <v>1.74</v>
      </c>
      <c r="BH54" s="101">
        <v>1.62</v>
      </c>
      <c r="BI54" s="103">
        <v>1.91</v>
      </c>
      <c r="BJ54" s="101">
        <v>1.67</v>
      </c>
      <c r="BK54" s="101">
        <v>1.62</v>
      </c>
      <c r="BL54" s="101">
        <v>1.57</v>
      </c>
      <c r="BM54" s="101">
        <v>1.66</v>
      </c>
      <c r="BN54" s="101">
        <v>1.66</v>
      </c>
      <c r="BO54" s="101">
        <v>1.62</v>
      </c>
      <c r="BP54" s="102">
        <v>1.6</v>
      </c>
      <c r="BQ54" s="101">
        <v>1.65</v>
      </c>
      <c r="BR54" s="102">
        <v>1.55</v>
      </c>
      <c r="BS54" s="101">
        <v>1.48</v>
      </c>
      <c r="BT54" s="101">
        <v>1.43</v>
      </c>
      <c r="BU54" s="101">
        <v>1.34</v>
      </c>
      <c r="BV54" s="101">
        <v>1.34</v>
      </c>
      <c r="BW54" s="103">
        <v>1.26</v>
      </c>
      <c r="BX54" s="103">
        <v>1.22</v>
      </c>
      <c r="BY54" s="103">
        <v>1.32</v>
      </c>
      <c r="BZ54" s="101">
        <v>1.3</v>
      </c>
      <c r="CA54" s="101">
        <v>1.43</v>
      </c>
      <c r="CB54" s="101">
        <v>1.39</v>
      </c>
      <c r="CC54" s="403">
        <v>1.45</v>
      </c>
      <c r="CD54" s="403">
        <v>1.74</v>
      </c>
      <c r="CE54" s="470">
        <v>1.68</v>
      </c>
    </row>
    <row r="55" spans="1:257" x14ac:dyDescent="0.2">
      <c r="A55" s="112" t="s">
        <v>43</v>
      </c>
      <c r="B55" s="276"/>
      <c r="C55" s="123">
        <f t="shared" ref="C55:AH55" si="46">-C38/C35</f>
        <v>0.28000000000000003</v>
      </c>
      <c r="D55" s="123">
        <f t="shared" si="46"/>
        <v>0.28000000000000003</v>
      </c>
      <c r="E55" s="123">
        <f t="shared" si="46"/>
        <v>0.28000000000000003</v>
      </c>
      <c r="F55" s="123">
        <f t="shared" si="46"/>
        <v>0.28000000000000003</v>
      </c>
      <c r="G55" s="123">
        <f t="shared" si="46"/>
        <v>0.28000000000000003</v>
      </c>
      <c r="H55" s="123">
        <f t="shared" si="46"/>
        <v>0.28000000000000003</v>
      </c>
      <c r="I55" s="123">
        <f t="shared" si="46"/>
        <v>0.28000000000000003</v>
      </c>
      <c r="J55" s="123">
        <f t="shared" si="46"/>
        <v>0.28000000000000003</v>
      </c>
      <c r="K55" s="123">
        <f t="shared" si="46"/>
        <v>0.28000000000000003</v>
      </c>
      <c r="L55" s="123">
        <f t="shared" si="46"/>
        <v>0.28000000000000003</v>
      </c>
      <c r="M55" s="123">
        <f t="shared" si="46"/>
        <v>0.28000000000000003</v>
      </c>
      <c r="N55" s="123">
        <f t="shared" si="46"/>
        <v>0.28000000000000003</v>
      </c>
      <c r="O55" s="123">
        <f t="shared" si="46"/>
        <v>0.28000000000000003</v>
      </c>
      <c r="P55" s="123">
        <f t="shared" si="46"/>
        <v>0.28000000000000003</v>
      </c>
      <c r="Q55" s="123">
        <f t="shared" si="46"/>
        <v>0.28000000000000003</v>
      </c>
      <c r="R55" s="123">
        <f t="shared" si="46"/>
        <v>0.28000000000000003</v>
      </c>
      <c r="S55" s="123">
        <f t="shared" si="46"/>
        <v>0.28169780518773807</v>
      </c>
      <c r="T55" s="123">
        <f t="shared" si="46"/>
        <v>0.29295774647887307</v>
      </c>
      <c r="U55" s="123">
        <f t="shared" si="46"/>
        <v>0.26993850848397988</v>
      </c>
      <c r="V55" s="123">
        <f t="shared" si="46"/>
        <v>0.2724320935127752</v>
      </c>
      <c r="W55" s="123">
        <f t="shared" si="46"/>
        <v>0.2739834292714412</v>
      </c>
      <c r="X55" s="123">
        <f t="shared" si="46"/>
        <v>0.27062727536325276</v>
      </c>
      <c r="Y55" s="123">
        <f t="shared" si="46"/>
        <v>0.27362433748437975</v>
      </c>
      <c r="Z55" s="123">
        <f t="shared" si="46"/>
        <v>9.2502270510276138E-2</v>
      </c>
      <c r="AA55" s="123">
        <f t="shared" si="46"/>
        <v>0.26764738881087191</v>
      </c>
      <c r="AB55" s="123">
        <f t="shared" si="46"/>
        <v>0.25785133903606322</v>
      </c>
      <c r="AC55" s="124">
        <f t="shared" si="46"/>
        <v>0.25068906540899394</v>
      </c>
      <c r="AD55" s="125">
        <f t="shared" si="46"/>
        <v>0.19792913872579546</v>
      </c>
      <c r="AE55" s="125">
        <f t="shared" si="46"/>
        <v>0.23251410650005211</v>
      </c>
      <c r="AF55" s="125">
        <f t="shared" si="46"/>
        <v>0.23683868585566037</v>
      </c>
      <c r="AG55" s="125">
        <f t="shared" si="46"/>
        <v>0.21195261512989705</v>
      </c>
      <c r="AH55" s="125">
        <f t="shared" si="46"/>
        <v>0.21983664406572015</v>
      </c>
      <c r="AI55" s="125">
        <f t="shared" ref="AI55:BN55" si="47">-AI38/AI35</f>
        <v>0.16480519944825076</v>
      </c>
      <c r="AJ55" s="123">
        <f t="shared" si="47"/>
        <v>0.16654726840370496</v>
      </c>
      <c r="AK55" s="125">
        <f t="shared" si="47"/>
        <v>0.2218153623086401</v>
      </c>
      <c r="AL55" s="123">
        <f t="shared" si="47"/>
        <v>0.1796894210594</v>
      </c>
      <c r="AM55" s="125">
        <f t="shared" si="47"/>
        <v>0.17960252782623973</v>
      </c>
      <c r="AN55" s="123">
        <f t="shared" si="47"/>
        <v>0.18175287968284135</v>
      </c>
      <c r="AO55" s="123">
        <f t="shared" si="47"/>
        <v>0.17650330307245954</v>
      </c>
      <c r="AP55" s="123">
        <f t="shared" si="47"/>
        <v>0.18837941121537247</v>
      </c>
      <c r="AQ55" s="123">
        <f t="shared" si="47"/>
        <v>0.16011759334439055</v>
      </c>
      <c r="AR55" s="123">
        <f t="shared" si="47"/>
        <v>0.16082775998827889</v>
      </c>
      <c r="AS55" s="124">
        <f t="shared" si="47"/>
        <v>0.14591100922527084</v>
      </c>
      <c r="AT55" s="125">
        <f t="shared" si="47"/>
        <v>0.11235647598003505</v>
      </c>
      <c r="AU55" s="125">
        <f t="shared" si="47"/>
        <v>0.1661610777395818</v>
      </c>
      <c r="AV55" s="123">
        <f t="shared" si="47"/>
        <v>0.20570376855245998</v>
      </c>
      <c r="AW55" s="123">
        <f t="shared" si="47"/>
        <v>0.24027465223782993</v>
      </c>
      <c r="AX55" s="123">
        <f t="shared" si="47"/>
        <v>0.21326263771794859</v>
      </c>
      <c r="AY55" s="123">
        <f t="shared" si="47"/>
        <v>0.16815200941651245</v>
      </c>
      <c r="AZ55" s="123">
        <f t="shared" si="47"/>
        <v>8.3530558262564378E-2</v>
      </c>
      <c r="BA55" s="123">
        <f t="shared" si="47"/>
        <v>0.15140328825919802</v>
      </c>
      <c r="BB55" s="123">
        <f t="shared" si="47"/>
        <v>0.15571005834191176</v>
      </c>
      <c r="BC55" s="123">
        <f t="shared" si="47"/>
        <v>0.14087288526100974</v>
      </c>
      <c r="BD55" s="123">
        <f t="shared" si="47"/>
        <v>0.17081371889710817</v>
      </c>
      <c r="BE55" s="123">
        <f t="shared" si="47"/>
        <v>0.14893078933318352</v>
      </c>
      <c r="BF55" s="123">
        <f t="shared" si="47"/>
        <v>0.16415533504838911</v>
      </c>
      <c r="BG55" s="123">
        <f t="shared" si="47"/>
        <v>0.13968919154880391</v>
      </c>
      <c r="BH55" s="123">
        <f t="shared" si="47"/>
        <v>0.13952724885095208</v>
      </c>
      <c r="BI55" s="124">
        <f t="shared" si="47"/>
        <v>0.13574393382522007</v>
      </c>
      <c r="BJ55" s="123">
        <f t="shared" si="47"/>
        <v>0.15691868758915836</v>
      </c>
      <c r="BK55" s="123">
        <f t="shared" si="47"/>
        <v>0.13966480446927373</v>
      </c>
      <c r="BL55" s="123">
        <f t="shared" si="47"/>
        <v>0.15287769784172661</v>
      </c>
      <c r="BM55" s="123">
        <f t="shared" si="47"/>
        <v>0.13918910067465773</v>
      </c>
      <c r="BN55" s="123">
        <f t="shared" si="47"/>
        <v>0.13675213675213677</v>
      </c>
      <c r="BO55" s="123">
        <f t="shared" ref="BO55:BU55" si="48">-BO38/BO35</f>
        <v>0.1443240822149599</v>
      </c>
      <c r="BP55" s="124">
        <f t="shared" si="48"/>
        <v>0.14159635340898069</v>
      </c>
      <c r="BQ55" s="123">
        <f t="shared" si="48"/>
        <v>0.14500741997032013</v>
      </c>
      <c r="BR55" s="123">
        <f t="shared" si="48"/>
        <v>0.13656302298951814</v>
      </c>
      <c r="BS55" s="123">
        <f t="shared" si="48"/>
        <v>0.13287924556720526</v>
      </c>
      <c r="BT55" s="123">
        <f t="shared" si="48"/>
        <v>0.1189279359430605</v>
      </c>
      <c r="BU55" s="123">
        <f t="shared" si="48"/>
        <v>0.19500235633962265</v>
      </c>
      <c r="BV55" s="123">
        <f t="shared" ref="BV55:CA55" si="49">-BV38/BV35</f>
        <v>0.21563580780015951</v>
      </c>
      <c r="BW55" s="125">
        <f t="shared" si="49"/>
        <v>0.12960387973869031</v>
      </c>
      <c r="BX55" s="125">
        <f t="shared" si="49"/>
        <v>0.13934523902865975</v>
      </c>
      <c r="BY55" s="125">
        <f t="shared" si="49"/>
        <v>0.15239870197669741</v>
      </c>
      <c r="BZ55" s="123">
        <f t="shared" si="49"/>
        <v>0.13564276467762001</v>
      </c>
      <c r="CA55" s="123">
        <f t="shared" si="49"/>
        <v>0.15560508377965326</v>
      </c>
      <c r="CB55" s="123">
        <f>-CB38/CB35</f>
        <v>0.15748525483181591</v>
      </c>
      <c r="CC55" s="404">
        <f>-CC38/CC35</f>
        <v>0.16479297330461756</v>
      </c>
      <c r="CD55" s="404">
        <f>-CD38/CD35</f>
        <v>0.13977988606495959</v>
      </c>
      <c r="CE55" s="475">
        <f>-CE38/CE35</f>
        <v>0.1641509346938782</v>
      </c>
    </row>
    <row r="56" spans="1:257" x14ac:dyDescent="0.2">
      <c r="A56" s="11"/>
      <c r="B56" s="12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20"/>
      <c r="AD56" s="220"/>
      <c r="AE56" s="220"/>
      <c r="AF56" s="220"/>
      <c r="AG56" s="220"/>
      <c r="AH56" s="220"/>
      <c r="AI56" s="220"/>
      <c r="AJ56" s="219"/>
      <c r="AK56" s="221"/>
      <c r="AL56" s="219"/>
      <c r="AM56" s="220"/>
      <c r="AN56" s="219"/>
      <c r="AO56" s="219"/>
      <c r="AP56" s="219"/>
      <c r="AQ56" s="219"/>
      <c r="AR56" s="219"/>
      <c r="AS56" s="221"/>
      <c r="AT56" s="220"/>
      <c r="AU56" s="220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20"/>
      <c r="BJ56" s="219"/>
      <c r="BK56" s="219"/>
      <c r="BL56" s="219"/>
      <c r="BM56" s="219"/>
      <c r="BN56" s="219"/>
      <c r="BO56" s="219"/>
      <c r="BP56" s="221"/>
      <c r="BQ56" s="219"/>
      <c r="BR56" s="221"/>
      <c r="BS56" s="219"/>
      <c r="BT56" s="219"/>
      <c r="BU56" s="219"/>
      <c r="BV56" s="219"/>
      <c r="BW56" s="220"/>
      <c r="BX56" s="220"/>
      <c r="BY56" s="220"/>
      <c r="BZ56" s="219"/>
      <c r="CA56" s="219"/>
      <c r="CB56" s="219"/>
      <c r="CC56" s="405"/>
      <c r="CD56" s="405"/>
      <c r="CE56" s="372"/>
    </row>
    <row r="57" spans="1:257" x14ac:dyDescent="0.2">
      <c r="A57" s="304" t="s">
        <v>156</v>
      </c>
      <c r="B57" s="7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3"/>
      <c r="AD57" s="33"/>
      <c r="AE57" s="33"/>
      <c r="AF57" s="33"/>
      <c r="AG57" s="33"/>
      <c r="AH57" s="33"/>
      <c r="AI57" s="33"/>
      <c r="AJ57" s="32"/>
      <c r="AK57" s="7"/>
      <c r="AL57" s="32"/>
      <c r="AM57" s="33"/>
      <c r="AN57" s="32"/>
      <c r="AO57" s="32"/>
      <c r="AP57" s="32"/>
      <c r="AQ57" s="32"/>
      <c r="AR57" s="32"/>
      <c r="AS57" s="7"/>
      <c r="AT57" s="33"/>
      <c r="AU57" s="33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3"/>
      <c r="BJ57" s="32"/>
      <c r="BK57" s="32"/>
      <c r="BL57" s="32"/>
      <c r="BM57" s="32"/>
      <c r="BN57" s="32"/>
      <c r="BO57" s="32"/>
      <c r="BP57" s="7"/>
      <c r="BQ57" s="32"/>
      <c r="BR57" s="7"/>
      <c r="BS57" s="32"/>
      <c r="BT57" s="32"/>
      <c r="BU57" s="32"/>
      <c r="BV57" s="32"/>
      <c r="BW57" s="33"/>
      <c r="BX57" s="33"/>
      <c r="BY57" s="33"/>
      <c r="BZ57" s="32"/>
      <c r="CA57" s="32"/>
      <c r="CB57" s="32"/>
      <c r="CC57" s="392"/>
      <c r="CD57" s="392"/>
      <c r="CE57" s="361"/>
    </row>
    <row r="58" spans="1:257" x14ac:dyDescent="0.2">
      <c r="A58" s="11" t="s">
        <v>168</v>
      </c>
      <c r="B58" s="12"/>
      <c r="C58" s="94" t="s">
        <v>37</v>
      </c>
      <c r="D58" s="94" t="s">
        <v>37</v>
      </c>
      <c r="E58" s="94" t="s">
        <v>37</v>
      </c>
      <c r="F58" s="94" t="s">
        <v>37</v>
      </c>
      <c r="G58" s="94" t="s">
        <v>37</v>
      </c>
      <c r="H58" s="94" t="s">
        <v>37</v>
      </c>
      <c r="I58" s="94" t="s">
        <v>37</v>
      </c>
      <c r="J58" s="94" t="s">
        <v>37</v>
      </c>
      <c r="K58" s="94" t="s">
        <v>37</v>
      </c>
      <c r="L58" s="94" t="s">
        <v>37</v>
      </c>
      <c r="M58" s="94" t="s">
        <v>37</v>
      </c>
      <c r="N58" s="94" t="s">
        <v>37</v>
      </c>
      <c r="O58" s="94" t="s">
        <v>37</v>
      </c>
      <c r="P58" s="94" t="s">
        <v>37</v>
      </c>
      <c r="Q58" s="94" t="s">
        <v>37</v>
      </c>
      <c r="R58" s="94" t="s">
        <v>37</v>
      </c>
      <c r="S58" s="94" t="s">
        <v>37</v>
      </c>
      <c r="T58" s="94" t="s">
        <v>37</v>
      </c>
      <c r="U58" s="94" t="s">
        <v>37</v>
      </c>
      <c r="V58" s="94" t="s">
        <v>37</v>
      </c>
      <c r="W58" s="94" t="s">
        <v>37</v>
      </c>
      <c r="X58" s="94" t="s">
        <v>37</v>
      </c>
      <c r="Y58" s="94" t="s">
        <v>37</v>
      </c>
      <c r="Z58" s="94" t="s">
        <v>37</v>
      </c>
      <c r="AA58" s="94" t="s">
        <v>37</v>
      </c>
      <c r="AB58" s="94" t="s">
        <v>37</v>
      </c>
      <c r="AC58" s="94" t="s">
        <v>37</v>
      </c>
      <c r="AD58" s="94" t="s">
        <v>37</v>
      </c>
      <c r="AE58" s="94" t="s">
        <v>37</v>
      </c>
      <c r="AF58" s="94" t="s">
        <v>37</v>
      </c>
      <c r="AG58" s="94" t="s">
        <v>37</v>
      </c>
      <c r="AH58" s="94" t="s">
        <v>37</v>
      </c>
      <c r="AI58" s="147">
        <f t="shared" ref="AI58:BY58" si="50">+AI59-AH59</f>
        <v>4.98988105805077</v>
      </c>
      <c r="AJ58" s="147">
        <f t="shared" si="50"/>
        <v>7.6668771164552822</v>
      </c>
      <c r="AK58" s="147">
        <f t="shared" si="50"/>
        <v>6.956570530804612</v>
      </c>
      <c r="AL58" s="147">
        <f t="shared" si="50"/>
        <v>7.8238805970149201</v>
      </c>
      <c r="AM58" s="147">
        <f t="shared" si="50"/>
        <v>13.200000000000017</v>
      </c>
      <c r="AN58" s="147">
        <f t="shared" si="50"/>
        <v>9.3999999999999773</v>
      </c>
      <c r="AO58" s="147">
        <f t="shared" si="50"/>
        <v>5.3000000000000114</v>
      </c>
      <c r="AP58" s="147">
        <f t="shared" si="50"/>
        <v>6.3000000000000114</v>
      </c>
      <c r="AQ58" s="147">
        <f t="shared" si="50"/>
        <v>9.6999999999999886</v>
      </c>
      <c r="AR58" s="147">
        <f t="shared" si="50"/>
        <v>6.1999999999999886</v>
      </c>
      <c r="AS58" s="147">
        <f t="shared" si="50"/>
        <v>5.9000000000000341</v>
      </c>
      <c r="AT58" s="147">
        <f t="shared" si="50"/>
        <v>4.3999999999999773</v>
      </c>
      <c r="AU58" s="147">
        <f t="shared" si="50"/>
        <v>7.1000000000000227</v>
      </c>
      <c r="AV58" s="147">
        <f t="shared" si="50"/>
        <v>4.6399999999999864</v>
      </c>
      <c r="AW58" s="147">
        <f t="shared" si="50"/>
        <v>4.1929999999999836</v>
      </c>
      <c r="AX58" s="147">
        <f t="shared" si="50"/>
        <v>4.3530000000000086</v>
      </c>
      <c r="AY58" s="147">
        <f t="shared" si="50"/>
        <v>8.9139999999999873</v>
      </c>
      <c r="AZ58" s="147">
        <f t="shared" si="50"/>
        <v>6.1000000000000227</v>
      </c>
      <c r="BA58" s="147">
        <f t="shared" si="50"/>
        <v>8.5999999999999659</v>
      </c>
      <c r="BB58" s="147">
        <f t="shared" si="50"/>
        <v>9.6000000000000227</v>
      </c>
      <c r="BC58" s="147">
        <f t="shared" si="50"/>
        <v>14.5</v>
      </c>
      <c r="BD58" s="147">
        <f t="shared" si="50"/>
        <v>11.5</v>
      </c>
      <c r="BE58" s="147">
        <f t="shared" si="50"/>
        <v>12.800000000000011</v>
      </c>
      <c r="BF58" s="147">
        <f t="shared" si="50"/>
        <v>15.899999999999977</v>
      </c>
      <c r="BG58" s="147">
        <f t="shared" si="50"/>
        <v>31.800000000000011</v>
      </c>
      <c r="BH58" s="147">
        <f t="shared" si="50"/>
        <v>20.5</v>
      </c>
      <c r="BI58" s="147">
        <f t="shared" si="50"/>
        <v>20.399999999999977</v>
      </c>
      <c r="BJ58" s="147">
        <f t="shared" si="50"/>
        <v>23.700000000000045</v>
      </c>
      <c r="BK58" s="147">
        <f t="shared" si="50"/>
        <v>26.199999999999989</v>
      </c>
      <c r="BL58" s="147">
        <f t="shared" si="50"/>
        <v>23.099999999999966</v>
      </c>
      <c r="BM58" s="147">
        <f t="shared" si="50"/>
        <v>24.399999999999977</v>
      </c>
      <c r="BN58" s="147">
        <f t="shared" si="50"/>
        <v>29.300000000000068</v>
      </c>
      <c r="BO58" s="147">
        <f t="shared" si="50"/>
        <v>38.399999999999977</v>
      </c>
      <c r="BP58" s="147">
        <f t="shared" si="50"/>
        <v>27.899999999999977</v>
      </c>
      <c r="BQ58" s="147">
        <f t="shared" si="50"/>
        <v>31.200000000000045</v>
      </c>
      <c r="BR58" s="147">
        <f t="shared" si="50"/>
        <v>42.54200000000003</v>
      </c>
      <c r="BS58" s="147">
        <f t="shared" si="50"/>
        <v>42.411999999999921</v>
      </c>
      <c r="BT58" s="147">
        <f t="shared" si="50"/>
        <v>23.302000000000021</v>
      </c>
      <c r="BU58" s="147">
        <f t="shared" si="50"/>
        <v>32.150999999999954</v>
      </c>
      <c r="BV58" s="147">
        <f t="shared" si="50"/>
        <v>28.631000000000085</v>
      </c>
      <c r="BW58" s="147">
        <f t="shared" si="50"/>
        <v>33.63900000000001</v>
      </c>
      <c r="BX58" s="147">
        <f t="shared" si="50"/>
        <v>31.545999999999935</v>
      </c>
      <c r="BY58" s="147">
        <f t="shared" si="50"/>
        <v>36.759999999999991</v>
      </c>
      <c r="BZ58" s="105">
        <f t="shared" ref="BZ58:CE58" si="51">+BZ59-BY59</f>
        <v>37.339000000000055</v>
      </c>
      <c r="CA58" s="105">
        <f t="shared" si="51"/>
        <v>86.094000000000051</v>
      </c>
      <c r="CB58" s="105">
        <f t="shared" si="51"/>
        <v>53.024999999999864</v>
      </c>
      <c r="CC58" s="406">
        <f t="shared" si="51"/>
        <v>79.182000000000016</v>
      </c>
      <c r="CD58" s="406">
        <f t="shared" si="51"/>
        <v>85.606999999999971</v>
      </c>
      <c r="CE58" s="371">
        <f t="shared" si="51"/>
        <v>152.83000000000015</v>
      </c>
    </row>
    <row r="59" spans="1:257" x14ac:dyDescent="0.2">
      <c r="A59" s="47" t="s">
        <v>35</v>
      </c>
      <c r="B59" s="48"/>
      <c r="C59" s="97" t="s">
        <v>37</v>
      </c>
      <c r="D59" s="97" t="s">
        <v>37</v>
      </c>
      <c r="E59" s="97" t="s">
        <v>37</v>
      </c>
      <c r="F59" s="97" t="s">
        <v>37</v>
      </c>
      <c r="G59" s="97" t="s">
        <v>37</v>
      </c>
      <c r="H59" s="97" t="s">
        <v>37</v>
      </c>
      <c r="I59" s="97" t="s">
        <v>37</v>
      </c>
      <c r="J59" s="97" t="s">
        <v>37</v>
      </c>
      <c r="K59" s="97" t="s">
        <v>37</v>
      </c>
      <c r="L59" s="97" t="s">
        <v>37</v>
      </c>
      <c r="M59" s="97" t="s">
        <v>37</v>
      </c>
      <c r="N59" s="97" t="s">
        <v>37</v>
      </c>
      <c r="O59" s="97" t="s">
        <v>37</v>
      </c>
      <c r="P59" s="97" t="s">
        <v>37</v>
      </c>
      <c r="Q59" s="97" t="s">
        <v>37</v>
      </c>
      <c r="R59" s="97" t="s">
        <v>37</v>
      </c>
      <c r="S59" s="97" t="s">
        <v>37</v>
      </c>
      <c r="T59" s="97" t="s">
        <v>37</v>
      </c>
      <c r="U59" s="97" t="s">
        <v>37</v>
      </c>
      <c r="V59" s="97" t="s">
        <v>37</v>
      </c>
      <c r="W59" s="97" t="s">
        <v>37</v>
      </c>
      <c r="X59" s="97" t="s">
        <v>37</v>
      </c>
      <c r="Y59" s="97" t="s">
        <v>37</v>
      </c>
      <c r="Z59" s="97" t="s">
        <v>37</v>
      </c>
      <c r="AA59" s="97">
        <v>121.36</v>
      </c>
      <c r="AB59" s="97">
        <v>127.7</v>
      </c>
      <c r="AC59" s="98">
        <v>133</v>
      </c>
      <c r="AD59" s="98" t="s">
        <v>53</v>
      </c>
      <c r="AE59" s="98" t="s">
        <v>53</v>
      </c>
      <c r="AF59" s="98" t="s">
        <v>53</v>
      </c>
      <c r="AG59" s="98" t="s">
        <v>53</v>
      </c>
      <c r="AH59" s="98">
        <v>175.16279069767441</v>
      </c>
      <c r="AI59" s="98">
        <v>180.15267175572518</v>
      </c>
      <c r="AJ59" s="97">
        <v>187.81954887218046</v>
      </c>
      <c r="AK59" s="98">
        <v>194.77611940298507</v>
      </c>
      <c r="AL59" s="97">
        <v>202.6</v>
      </c>
      <c r="AM59" s="98">
        <v>215.8</v>
      </c>
      <c r="AN59" s="97">
        <v>225.2</v>
      </c>
      <c r="AO59" s="97">
        <v>230.5</v>
      </c>
      <c r="AP59" s="97">
        <v>236.8</v>
      </c>
      <c r="AQ59" s="97">
        <v>246.5</v>
      </c>
      <c r="AR59" s="97">
        <v>252.7</v>
      </c>
      <c r="AS59" s="99">
        <v>258.60000000000002</v>
      </c>
      <c r="AT59" s="98">
        <v>263</v>
      </c>
      <c r="AU59" s="98">
        <v>270.10000000000002</v>
      </c>
      <c r="AV59" s="97">
        <v>274.74</v>
      </c>
      <c r="AW59" s="97">
        <v>278.93299999999999</v>
      </c>
      <c r="AX59" s="97">
        <v>283.286</v>
      </c>
      <c r="AY59" s="97">
        <v>292.2</v>
      </c>
      <c r="AZ59" s="97">
        <v>298.3</v>
      </c>
      <c r="BA59" s="97">
        <v>306.89999999999998</v>
      </c>
      <c r="BB59" s="97">
        <v>316.5</v>
      </c>
      <c r="BC59" s="97">
        <v>331</v>
      </c>
      <c r="BD59" s="97">
        <v>342.5</v>
      </c>
      <c r="BE59" s="97">
        <v>355.3</v>
      </c>
      <c r="BF59" s="97">
        <v>371.2</v>
      </c>
      <c r="BG59" s="97">
        <v>403</v>
      </c>
      <c r="BH59" s="97">
        <v>423.5</v>
      </c>
      <c r="BI59" s="98">
        <v>443.9</v>
      </c>
      <c r="BJ59" s="97">
        <v>467.6</v>
      </c>
      <c r="BK59" s="97">
        <v>493.8</v>
      </c>
      <c r="BL59" s="97">
        <v>516.9</v>
      </c>
      <c r="BM59" s="97">
        <v>541.29999999999995</v>
      </c>
      <c r="BN59" s="97">
        <v>570.6</v>
      </c>
      <c r="BO59" s="97">
        <v>609</v>
      </c>
      <c r="BP59" s="99">
        <v>636.9</v>
      </c>
      <c r="BQ59" s="97">
        <v>668.1</v>
      </c>
      <c r="BR59" s="99">
        <v>710.64200000000005</v>
      </c>
      <c r="BS59" s="97">
        <v>753.05399999999997</v>
      </c>
      <c r="BT59" s="97">
        <v>776.35599999999999</v>
      </c>
      <c r="BU59" s="97">
        <v>808.50699999999995</v>
      </c>
      <c r="BV59" s="97">
        <v>837.13800000000003</v>
      </c>
      <c r="BW59" s="98">
        <v>870.77700000000004</v>
      </c>
      <c r="BX59" s="98">
        <v>902.32299999999998</v>
      </c>
      <c r="BY59" s="98">
        <v>939.08299999999997</v>
      </c>
      <c r="BZ59" s="97">
        <v>976.42200000000003</v>
      </c>
      <c r="CA59" s="97">
        <v>1062.5160000000001</v>
      </c>
      <c r="CB59" s="97">
        <v>1115.5409999999999</v>
      </c>
      <c r="CC59" s="407">
        <v>1194.723</v>
      </c>
      <c r="CD59" s="407">
        <v>1280.33</v>
      </c>
      <c r="CE59" s="451">
        <v>1433.16</v>
      </c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x14ac:dyDescent="0.2">
      <c r="A60" s="11"/>
      <c r="B60" s="1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3"/>
      <c r="AD60" s="33"/>
      <c r="AE60" s="33"/>
      <c r="AF60" s="33"/>
      <c r="AG60" s="33"/>
      <c r="AH60" s="33"/>
      <c r="AI60" s="33"/>
      <c r="AJ60" s="32"/>
      <c r="AK60" s="7"/>
      <c r="AL60" s="32"/>
      <c r="AM60" s="33"/>
      <c r="AN60" s="32"/>
      <c r="AO60" s="32"/>
      <c r="AP60" s="33"/>
      <c r="AQ60" s="32"/>
      <c r="AR60" s="32"/>
      <c r="AS60" s="7"/>
      <c r="AT60" s="33"/>
      <c r="AU60" s="33"/>
      <c r="AV60" s="33"/>
      <c r="AW60" s="33"/>
      <c r="AX60" s="33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3"/>
      <c r="BJ60" s="32"/>
      <c r="BK60" s="105"/>
      <c r="BL60" s="105"/>
      <c r="BM60" s="105"/>
      <c r="BN60" s="105"/>
      <c r="BO60" s="105"/>
      <c r="BP60" s="106"/>
      <c r="BQ60" s="105"/>
      <c r="BR60" s="32"/>
      <c r="BS60" s="32"/>
      <c r="BT60" s="32"/>
      <c r="BU60" s="32"/>
      <c r="BV60" s="32"/>
      <c r="BW60" s="33"/>
      <c r="BX60" s="33"/>
      <c r="BY60" s="33"/>
      <c r="BZ60" s="32"/>
      <c r="CA60" s="32"/>
      <c r="CB60" s="32"/>
      <c r="CC60" s="392"/>
      <c r="CD60" s="392"/>
      <c r="CE60" s="361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s="111" customFormat="1" x14ac:dyDescent="0.2">
      <c r="A61" s="39" t="s">
        <v>89</v>
      </c>
      <c r="B61" s="40"/>
      <c r="C61" s="41" t="s">
        <v>53</v>
      </c>
      <c r="D61" s="41" t="s">
        <v>53</v>
      </c>
      <c r="E61" s="41" t="s">
        <v>53</v>
      </c>
      <c r="F61" s="41" t="s">
        <v>53</v>
      </c>
      <c r="G61" s="41" t="s">
        <v>53</v>
      </c>
      <c r="H61" s="41" t="s">
        <v>53</v>
      </c>
      <c r="I61" s="41" t="s">
        <v>53</v>
      </c>
      <c r="J61" s="41" t="s">
        <v>53</v>
      </c>
      <c r="K61" s="41" t="s">
        <v>53</v>
      </c>
      <c r="L61" s="41" t="s">
        <v>53</v>
      </c>
      <c r="M61" s="41" t="s">
        <v>53</v>
      </c>
      <c r="N61" s="41" t="s">
        <v>53</v>
      </c>
      <c r="O61" s="41" t="s">
        <v>53</v>
      </c>
      <c r="P61" s="41" t="s">
        <v>53</v>
      </c>
      <c r="Q61" s="41" t="s">
        <v>53</v>
      </c>
      <c r="R61" s="41" t="s">
        <v>53</v>
      </c>
      <c r="S61" s="41" t="s">
        <v>53</v>
      </c>
      <c r="T61" s="41" t="s">
        <v>53</v>
      </c>
      <c r="U61" s="41" t="s">
        <v>53</v>
      </c>
      <c r="V61" s="41" t="s">
        <v>53</v>
      </c>
      <c r="W61" s="41" t="s">
        <v>53</v>
      </c>
      <c r="X61" s="41" t="s">
        <v>53</v>
      </c>
      <c r="Y61" s="41" t="s">
        <v>53</v>
      </c>
      <c r="Z61" s="41" t="s">
        <v>53</v>
      </c>
      <c r="AA61" s="41" t="s">
        <v>53</v>
      </c>
      <c r="AB61" s="41" t="s">
        <v>53</v>
      </c>
      <c r="AC61" s="41" t="s">
        <v>53</v>
      </c>
      <c r="AD61" s="41" t="s">
        <v>53</v>
      </c>
      <c r="AE61" s="41" t="s">
        <v>53</v>
      </c>
      <c r="AF61" s="41" t="s">
        <v>53</v>
      </c>
      <c r="AG61" s="41" t="s">
        <v>53</v>
      </c>
      <c r="AH61" s="109">
        <f t="shared" ref="AH61:BZ61" si="52">+AH78/(AH59*1000)</f>
        <v>0.20496420419543282</v>
      </c>
      <c r="AI61" s="109">
        <f t="shared" si="52"/>
        <v>0.21685495762711868</v>
      </c>
      <c r="AJ61" s="109">
        <f t="shared" si="52"/>
        <v>0.26163410728582864</v>
      </c>
      <c r="AK61" s="109">
        <f t="shared" si="52"/>
        <v>0.29683310344827585</v>
      </c>
      <c r="AL61" s="109">
        <f t="shared" si="52"/>
        <v>0.31798124383020732</v>
      </c>
      <c r="AM61" s="109">
        <f t="shared" si="52"/>
        <v>0.34629749768303986</v>
      </c>
      <c r="AN61" s="109">
        <f t="shared" si="52"/>
        <v>0.32364120781527533</v>
      </c>
      <c r="AO61" s="109">
        <f t="shared" si="52"/>
        <v>0.3405596529284165</v>
      </c>
      <c r="AP61" s="109">
        <f t="shared" si="52"/>
        <v>0.3627069256756757</v>
      </c>
      <c r="AQ61" s="109">
        <f t="shared" si="52"/>
        <v>0.36824746450304258</v>
      </c>
      <c r="AR61" s="109">
        <f t="shared" si="52"/>
        <v>0.34925207756232685</v>
      </c>
      <c r="AS61" s="109">
        <f t="shared" si="52"/>
        <v>0.28290023201856146</v>
      </c>
      <c r="AT61" s="109">
        <f t="shared" si="52"/>
        <v>0.29194676806083653</v>
      </c>
      <c r="AU61" s="109">
        <f t="shared" si="52"/>
        <v>0.31579415031469826</v>
      </c>
      <c r="AV61" s="109">
        <f t="shared" si="52"/>
        <v>0.29643663099657858</v>
      </c>
      <c r="AW61" s="109">
        <f t="shared" si="52"/>
        <v>0.30460002939774067</v>
      </c>
      <c r="AX61" s="109">
        <f t="shared" si="52"/>
        <v>0.3130017014607146</v>
      </c>
      <c r="AY61" s="109">
        <f t="shared" si="52"/>
        <v>0.33009240246406568</v>
      </c>
      <c r="AZ61" s="109">
        <f t="shared" si="52"/>
        <v>0.32690244720080458</v>
      </c>
      <c r="BA61" s="109">
        <f t="shared" si="52"/>
        <v>0.35247963506028024</v>
      </c>
      <c r="BB61" s="109">
        <f t="shared" si="52"/>
        <v>0.36600631911532383</v>
      </c>
      <c r="BC61" s="109">
        <f t="shared" si="52"/>
        <v>0.38041389728096675</v>
      </c>
      <c r="BD61" s="109">
        <f t="shared" si="52"/>
        <v>0.39304233576642333</v>
      </c>
      <c r="BE61" s="109">
        <f t="shared" si="52"/>
        <v>0.3892963692654095</v>
      </c>
      <c r="BF61" s="109">
        <f t="shared" si="52"/>
        <v>0.39675571186147629</v>
      </c>
      <c r="BG61" s="109">
        <f t="shared" si="52"/>
        <v>0.43187344913151365</v>
      </c>
      <c r="BH61" s="109">
        <f t="shared" si="52"/>
        <v>0.41508854781582055</v>
      </c>
      <c r="BI61" s="110">
        <f t="shared" si="52"/>
        <v>0.39786203187265567</v>
      </c>
      <c r="BJ61" s="109">
        <f t="shared" si="52"/>
        <v>0.4238434438812908</v>
      </c>
      <c r="BK61" s="109">
        <f t="shared" si="52"/>
        <v>0.39616563646296071</v>
      </c>
      <c r="BL61" s="109">
        <f t="shared" si="52"/>
        <v>0.39825691623137938</v>
      </c>
      <c r="BM61" s="109">
        <f t="shared" si="52"/>
        <v>0.42569370035100684</v>
      </c>
      <c r="BN61" s="109">
        <f t="shared" si="52"/>
        <v>0.41911146161934804</v>
      </c>
      <c r="BO61" s="109">
        <f t="shared" si="52"/>
        <v>0.41880333673572623</v>
      </c>
      <c r="BP61" s="110">
        <f t="shared" si="52"/>
        <v>0.42447611889449816</v>
      </c>
      <c r="BQ61" s="109">
        <f t="shared" si="52"/>
        <v>0.42056262094574093</v>
      </c>
      <c r="BR61" s="109">
        <f t="shared" si="52"/>
        <v>0.39813437016412223</v>
      </c>
      <c r="BS61" s="109">
        <f t="shared" si="52"/>
        <v>0.38340012801206819</v>
      </c>
      <c r="BT61" s="109">
        <f t="shared" si="52"/>
        <v>0.39562133866422106</v>
      </c>
      <c r="BU61" s="109">
        <f t="shared" si="52"/>
        <v>0.40937538329815215</v>
      </c>
      <c r="BV61" s="109">
        <f t="shared" si="52"/>
        <v>0.35833913147105156</v>
      </c>
      <c r="BW61" s="226">
        <f t="shared" si="52"/>
        <v>0.38548055989338137</v>
      </c>
      <c r="BX61" s="226">
        <f t="shared" si="52"/>
        <v>0.39817908017770876</v>
      </c>
      <c r="BY61" s="226">
        <f t="shared" si="52"/>
        <v>0.40154537883230473</v>
      </c>
      <c r="BZ61" s="109">
        <f t="shared" si="52"/>
        <v>0.41756404861041718</v>
      </c>
      <c r="CA61" s="109">
        <f>+CA78/(CA59*1000)</f>
        <v>0.34650279716644694</v>
      </c>
      <c r="CB61" s="109">
        <f>+CB78/(CB59*1000)</f>
        <v>0.39853291142818165</v>
      </c>
      <c r="CC61" s="408">
        <f>+CC78/(CC59*1000)</f>
        <v>0.43038620033028707</v>
      </c>
      <c r="CD61" s="408">
        <f>+CD78/(CD59*1000)</f>
        <v>0.44559538806949406</v>
      </c>
      <c r="CE61" s="373">
        <f>+CE78/(CE59*1000)</f>
        <v>0.45629561625392873</v>
      </c>
      <c r="CF61" s="356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s="111" customFormat="1" x14ac:dyDescent="0.2">
      <c r="A62" s="47" t="s">
        <v>81</v>
      </c>
      <c r="B62" s="48"/>
      <c r="C62" s="49" t="s">
        <v>53</v>
      </c>
      <c r="D62" s="49" t="s">
        <v>53</v>
      </c>
      <c r="E62" s="49" t="s">
        <v>53</v>
      </c>
      <c r="F62" s="49" t="s">
        <v>53</v>
      </c>
      <c r="G62" s="49" t="s">
        <v>53</v>
      </c>
      <c r="H62" s="49" t="s">
        <v>53</v>
      </c>
      <c r="I62" s="49" t="s">
        <v>53</v>
      </c>
      <c r="J62" s="49" t="s">
        <v>53</v>
      </c>
      <c r="K62" s="49" t="s">
        <v>53</v>
      </c>
      <c r="L62" s="49" t="s">
        <v>53</v>
      </c>
      <c r="M62" s="49" t="s">
        <v>53</v>
      </c>
      <c r="N62" s="49" t="s">
        <v>53</v>
      </c>
      <c r="O62" s="49" t="s">
        <v>53</v>
      </c>
      <c r="P62" s="49" t="s">
        <v>53</v>
      </c>
      <c r="Q62" s="49" t="s">
        <v>53</v>
      </c>
      <c r="R62" s="49" t="s">
        <v>53</v>
      </c>
      <c r="S62" s="49" t="s">
        <v>53</v>
      </c>
      <c r="T62" s="49" t="s">
        <v>53</v>
      </c>
      <c r="U62" s="49" t="s">
        <v>53</v>
      </c>
      <c r="V62" s="49" t="s">
        <v>53</v>
      </c>
      <c r="W62" s="49" t="s">
        <v>53</v>
      </c>
      <c r="X62" s="49" t="s">
        <v>53</v>
      </c>
      <c r="Y62" s="49" t="s">
        <v>53</v>
      </c>
      <c r="Z62" s="49" t="s">
        <v>53</v>
      </c>
      <c r="AA62" s="49" t="s">
        <v>53</v>
      </c>
      <c r="AB62" s="49" t="s">
        <v>53</v>
      </c>
      <c r="AC62" s="49" t="s">
        <v>53</v>
      </c>
      <c r="AD62" s="49" t="s">
        <v>53</v>
      </c>
      <c r="AE62" s="49" t="s">
        <v>53</v>
      </c>
      <c r="AF62" s="49" t="s">
        <v>53</v>
      </c>
      <c r="AG62" s="49" t="s">
        <v>53</v>
      </c>
      <c r="AH62" s="49" t="s">
        <v>53</v>
      </c>
      <c r="AI62" s="50">
        <f t="shared" ref="AI62:CC62" si="53">4*AI23/((AH59+AI59)/2/1000)</f>
        <v>2424.4913239962984</v>
      </c>
      <c r="AJ62" s="50">
        <f t="shared" si="53"/>
        <v>2860.5886715138995</v>
      </c>
      <c r="AK62" s="50">
        <f t="shared" si="53"/>
        <v>2646.4831385173425</v>
      </c>
      <c r="AL62" s="50">
        <f t="shared" si="53"/>
        <v>2880.0295972476169</v>
      </c>
      <c r="AM62" s="50">
        <f t="shared" si="53"/>
        <v>2915.8699808795413</v>
      </c>
      <c r="AN62" s="50">
        <f t="shared" si="53"/>
        <v>2881.8544399092971</v>
      </c>
      <c r="AO62" s="50">
        <f t="shared" si="53"/>
        <v>2391.9407768268597</v>
      </c>
      <c r="AP62" s="50">
        <f t="shared" si="53"/>
        <v>2827.1906609030602</v>
      </c>
      <c r="AQ62" s="50">
        <f t="shared" si="53"/>
        <v>2980.5255534864473</v>
      </c>
      <c r="AR62" s="50">
        <f t="shared" si="53"/>
        <v>2705.3044871794873</v>
      </c>
      <c r="AS62" s="50">
        <f t="shared" si="53"/>
        <v>2800.516173987874</v>
      </c>
      <c r="AT62" s="50">
        <f t="shared" si="53"/>
        <v>2366.9973774539876</v>
      </c>
      <c r="AU62" s="50">
        <f t="shared" si="53"/>
        <v>2417.4076158319263</v>
      </c>
      <c r="AV62" s="50">
        <f t="shared" si="53"/>
        <v>2034.3587108141842</v>
      </c>
      <c r="AW62" s="50">
        <f t="shared" si="53"/>
        <v>1768.77143700343</v>
      </c>
      <c r="AX62" s="50">
        <f t="shared" si="53"/>
        <v>1829.7630136299199</v>
      </c>
      <c r="AY62" s="50">
        <f t="shared" si="53"/>
        <v>2016.9804304535648</v>
      </c>
      <c r="AZ62" s="50">
        <f t="shared" si="53"/>
        <v>1795.4276037256561</v>
      </c>
      <c r="BA62" s="50">
        <f t="shared" si="53"/>
        <v>1914.2582947785852</v>
      </c>
      <c r="BB62" s="50">
        <f t="shared" si="53"/>
        <v>2025.3054475457175</v>
      </c>
      <c r="BC62" s="50">
        <f t="shared" si="53"/>
        <v>2078.0849420849427</v>
      </c>
      <c r="BD62" s="50">
        <f t="shared" si="53"/>
        <v>1903.904974016333</v>
      </c>
      <c r="BE62" s="50">
        <f t="shared" si="53"/>
        <v>1853.0696474634565</v>
      </c>
      <c r="BF62" s="49">
        <f t="shared" si="53"/>
        <v>2069.0984170681345</v>
      </c>
      <c r="BG62" s="49">
        <f t="shared" si="53"/>
        <v>2261.9478171015244</v>
      </c>
      <c r="BH62" s="49">
        <f t="shared" si="53"/>
        <v>2184.6339987900783</v>
      </c>
      <c r="BI62" s="51">
        <f t="shared" si="53"/>
        <v>1855.4957989393592</v>
      </c>
      <c r="BJ62" s="49">
        <f t="shared" si="53"/>
        <v>2194.1854086670323</v>
      </c>
      <c r="BK62" s="49">
        <f t="shared" si="53"/>
        <v>1864.4476804659869</v>
      </c>
      <c r="BL62" s="49">
        <f t="shared" si="53"/>
        <v>1746.1165528841395</v>
      </c>
      <c r="BM62" s="49">
        <f t="shared" si="53"/>
        <v>1652.9654129654134</v>
      </c>
      <c r="BN62" s="49">
        <f t="shared" si="53"/>
        <v>1764.1874269268817</v>
      </c>
      <c r="BO62" s="49">
        <f t="shared" si="53"/>
        <v>1657.8297728043406</v>
      </c>
      <c r="BP62" s="51">
        <f t="shared" si="53"/>
        <v>1499.6388153142307</v>
      </c>
      <c r="BQ62" s="49">
        <f t="shared" si="53"/>
        <v>1389.5417624521072</v>
      </c>
      <c r="BR62" s="49">
        <f t="shared" si="53"/>
        <v>1571.2294250846062</v>
      </c>
      <c r="BS62" s="49">
        <f t="shared" si="53"/>
        <v>1482.8871568959676</v>
      </c>
      <c r="BT62" s="49">
        <f t="shared" si="53"/>
        <v>1274.656162415572</v>
      </c>
      <c r="BU62" s="49">
        <f t="shared" si="53"/>
        <v>1348.2048606094031</v>
      </c>
      <c r="BV62" s="49">
        <f t="shared" si="53"/>
        <v>1297.5439660923234</v>
      </c>
      <c r="BW62" s="50">
        <f t="shared" si="53"/>
        <v>1253.7034193044783</v>
      </c>
      <c r="BX62" s="50">
        <f t="shared" si="53"/>
        <v>1281.5679825019563</v>
      </c>
      <c r="BY62" s="50">
        <f t="shared" si="53"/>
        <v>1359.957297906383</v>
      </c>
      <c r="BZ62" s="49">
        <f t="shared" si="53"/>
        <v>1372.669289287039</v>
      </c>
      <c r="CA62" s="49">
        <f t="shared" si="53"/>
        <v>2125.2435561888974</v>
      </c>
      <c r="CB62" s="49">
        <f t="shared" si="53"/>
        <v>1930.6902701372624</v>
      </c>
      <c r="CC62" s="394">
        <f t="shared" si="53"/>
        <v>1992.50097593653</v>
      </c>
      <c r="CD62" s="394">
        <f>4*CD23/((CC59+CD59)/2/1000)</f>
        <v>2282.1383406796967</v>
      </c>
      <c r="CE62" s="363">
        <f>4*CE23/((CD59+CE59)/2/1000)</f>
        <v>2820.7130449785991</v>
      </c>
      <c r="CF62" s="356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s="111" customFormat="1" x14ac:dyDescent="0.2">
      <c r="A63" s="47" t="s">
        <v>82</v>
      </c>
      <c r="B63" s="48"/>
      <c r="C63" s="49" t="s">
        <v>53</v>
      </c>
      <c r="D63" s="49" t="s">
        <v>53</v>
      </c>
      <c r="E63" s="49" t="s">
        <v>53</v>
      </c>
      <c r="F63" s="49" t="s">
        <v>53</v>
      </c>
      <c r="G63" s="49" t="s">
        <v>53</v>
      </c>
      <c r="H63" s="49" t="s">
        <v>53</v>
      </c>
      <c r="I63" s="49" t="s">
        <v>53</v>
      </c>
      <c r="J63" s="49" t="s">
        <v>53</v>
      </c>
      <c r="K63" s="49" t="s">
        <v>53</v>
      </c>
      <c r="L63" s="49" t="s">
        <v>53</v>
      </c>
      <c r="M63" s="49" t="s">
        <v>53</v>
      </c>
      <c r="N63" s="49" t="s">
        <v>53</v>
      </c>
      <c r="O63" s="49" t="s">
        <v>53</v>
      </c>
      <c r="P63" s="49" t="s">
        <v>53</v>
      </c>
      <c r="Q63" s="49" t="s">
        <v>53</v>
      </c>
      <c r="R63" s="49" t="s">
        <v>53</v>
      </c>
      <c r="S63" s="49" t="s">
        <v>53</v>
      </c>
      <c r="T63" s="49" t="s">
        <v>53</v>
      </c>
      <c r="U63" s="49" t="s">
        <v>53</v>
      </c>
      <c r="V63" s="49" t="s">
        <v>53</v>
      </c>
      <c r="W63" s="49" t="s">
        <v>53</v>
      </c>
      <c r="X63" s="49" t="s">
        <v>53</v>
      </c>
      <c r="Y63" s="49" t="s">
        <v>53</v>
      </c>
      <c r="Z63" s="49" t="s">
        <v>53</v>
      </c>
      <c r="AA63" s="49" t="s">
        <v>53</v>
      </c>
      <c r="AB63" s="49" t="s">
        <v>53</v>
      </c>
      <c r="AC63" s="49" t="s">
        <v>53</v>
      </c>
      <c r="AD63" s="49" t="s">
        <v>53</v>
      </c>
      <c r="AE63" s="49" t="s">
        <v>53</v>
      </c>
      <c r="AF63" s="49" t="s">
        <v>53</v>
      </c>
      <c r="AG63" s="49" t="s">
        <v>53</v>
      </c>
      <c r="AH63" s="49" t="s">
        <v>53</v>
      </c>
      <c r="AI63" s="50">
        <f t="shared" ref="AI63:BU63" si="54">4*AI29/((AH59+AI59)/2/1000)</f>
        <v>-1222.2610979211797</v>
      </c>
      <c r="AJ63" s="50">
        <f t="shared" si="54"/>
        <v>-1294.1309230555719</v>
      </c>
      <c r="AK63" s="50">
        <f t="shared" si="54"/>
        <v>-1043.9491887627469</v>
      </c>
      <c r="AL63" s="50">
        <f t="shared" si="54"/>
        <v>-1311.4962766836186</v>
      </c>
      <c r="AM63" s="50">
        <f t="shared" si="54"/>
        <v>-1212.5123168260038</v>
      </c>
      <c r="AN63" s="50">
        <f t="shared" si="54"/>
        <v>-1384.7180863492065</v>
      </c>
      <c r="AO63" s="50">
        <f t="shared" si="54"/>
        <v>-1098.9319978776739</v>
      </c>
      <c r="AP63" s="50">
        <f t="shared" si="54"/>
        <v>-1373.1359310079179</v>
      </c>
      <c r="AQ63" s="50">
        <f t="shared" si="54"/>
        <v>-1223.0752241671839</v>
      </c>
      <c r="AR63" s="50">
        <f t="shared" si="54"/>
        <v>-1513.0584533653846</v>
      </c>
      <c r="AS63" s="50">
        <f t="shared" si="54"/>
        <v>-1192.0297786817916</v>
      </c>
      <c r="AT63" s="50">
        <f t="shared" si="54"/>
        <v>-1411.4497576687115</v>
      </c>
      <c r="AU63" s="50">
        <f t="shared" si="54"/>
        <v>-1333.6472856874882</v>
      </c>
      <c r="AV63" s="50">
        <f t="shared" si="54"/>
        <v>-1320.5550769295351</v>
      </c>
      <c r="AW63" s="50">
        <f t="shared" si="54"/>
        <v>-1152.9705799426738</v>
      </c>
      <c r="AX63" s="50">
        <f t="shared" si="54"/>
        <v>-1295.9862315129867</v>
      </c>
      <c r="AY63" s="50">
        <f t="shared" si="54"/>
        <v>-1272.9414790281605</v>
      </c>
      <c r="AZ63" s="50">
        <f t="shared" si="54"/>
        <v>-1308.856900931414</v>
      </c>
      <c r="BA63" s="50">
        <f t="shared" si="54"/>
        <v>-953.86649041639112</v>
      </c>
      <c r="BB63" s="50">
        <f t="shared" si="54"/>
        <v>-1188.3221045877449</v>
      </c>
      <c r="BC63" s="50">
        <f t="shared" si="54"/>
        <v>-1138.4092664092664</v>
      </c>
      <c r="BD63" s="50">
        <f t="shared" si="54"/>
        <v>-1107.8841870824053</v>
      </c>
      <c r="BE63" s="50">
        <f t="shared" si="54"/>
        <v>-1038.2344511321296</v>
      </c>
      <c r="BF63" s="49">
        <f t="shared" si="54"/>
        <v>-1175.7192016517549</v>
      </c>
      <c r="BG63" s="49">
        <f t="shared" si="54"/>
        <v>-1078.3776801859985</v>
      </c>
      <c r="BH63" s="49">
        <f t="shared" si="54"/>
        <v>-1005.2994555353902</v>
      </c>
      <c r="BI63" s="51">
        <f t="shared" si="54"/>
        <v>-856.72123587733472</v>
      </c>
      <c r="BJ63" s="49">
        <f t="shared" si="54"/>
        <v>-964.56390565002755</v>
      </c>
      <c r="BK63" s="49">
        <f t="shared" si="54"/>
        <v>-910.3390888287912</v>
      </c>
      <c r="BL63" s="49">
        <f t="shared" si="54"/>
        <v>-864.984664094192</v>
      </c>
      <c r="BM63" s="49">
        <f t="shared" si="54"/>
        <v>-728.3311283311283</v>
      </c>
      <c r="BN63" s="49">
        <f t="shared" si="54"/>
        <v>-922.3851065743321</v>
      </c>
      <c r="BO63" s="49">
        <f t="shared" si="54"/>
        <v>-841.64123431671749</v>
      </c>
      <c r="BP63" s="51">
        <f t="shared" si="54"/>
        <v>-838.01268159563358</v>
      </c>
      <c r="BQ63" s="49">
        <f t="shared" si="54"/>
        <v>-753.86973180076632</v>
      </c>
      <c r="BR63" s="49">
        <f t="shared" si="54"/>
        <v>-912.48398902767872</v>
      </c>
      <c r="BS63" s="49">
        <f t="shared" si="54"/>
        <v>-831.62623932838528</v>
      </c>
      <c r="BT63" s="49">
        <f t="shared" si="54"/>
        <v>-800.6224622566873</v>
      </c>
      <c r="BU63" s="49">
        <f t="shared" si="54"/>
        <v>-679.20651978796207</v>
      </c>
      <c r="BV63" s="49">
        <f>4*(BV29+35)/((BU59+BV59)/2/1000)</f>
        <v>-751.23891982028306</v>
      </c>
      <c r="BW63" s="50">
        <f t="shared" ref="BW63:CC63" si="55">4*BW29/((BV59+BW59)/2/1000)</f>
        <v>-769.3189691144255</v>
      </c>
      <c r="BX63" s="50">
        <f t="shared" si="55"/>
        <v>-748.05175804380087</v>
      </c>
      <c r="BY63" s="50">
        <f t="shared" si="55"/>
        <v>-644.76642140189483</v>
      </c>
      <c r="BZ63" s="49">
        <f t="shared" si="55"/>
        <v>-781.30729293897275</v>
      </c>
      <c r="CA63" s="49">
        <f t="shared" si="55"/>
        <v>-701.89448946947834</v>
      </c>
      <c r="CB63" s="49">
        <f t="shared" si="55"/>
        <v>-680.92627109013665</v>
      </c>
      <c r="CC63" s="394">
        <f t="shared" si="55"/>
        <v>-613.57213834588572</v>
      </c>
      <c r="CD63" s="394">
        <f>4*CD29/((CC59+CD59)/2/1000)</f>
        <v>-714.73765814631827</v>
      </c>
      <c r="CE63" s="363">
        <f>4*CE29/((CD59+CE59)/2/1000)</f>
        <v>-596.84105369025588</v>
      </c>
      <c r="CF63" s="356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s="118" customFormat="1" x14ac:dyDescent="0.2">
      <c r="A64" s="112" t="s">
        <v>83</v>
      </c>
      <c r="B64" s="113"/>
      <c r="C64" s="114" t="s">
        <v>53</v>
      </c>
      <c r="D64" s="114" t="s">
        <v>53</v>
      </c>
      <c r="E64" s="114" t="s">
        <v>53</v>
      </c>
      <c r="F64" s="114" t="s">
        <v>53</v>
      </c>
      <c r="G64" s="114" t="s">
        <v>53</v>
      </c>
      <c r="H64" s="114" t="s">
        <v>53</v>
      </c>
      <c r="I64" s="114" t="s">
        <v>53</v>
      </c>
      <c r="J64" s="114" t="s">
        <v>53</v>
      </c>
      <c r="K64" s="114" t="s">
        <v>53</v>
      </c>
      <c r="L64" s="114" t="s">
        <v>53</v>
      </c>
      <c r="M64" s="114" t="s">
        <v>53</v>
      </c>
      <c r="N64" s="114" t="s">
        <v>53</v>
      </c>
      <c r="O64" s="114" t="s">
        <v>53</v>
      </c>
      <c r="P64" s="114" t="s">
        <v>53</v>
      </c>
      <c r="Q64" s="114" t="s">
        <v>53</v>
      </c>
      <c r="R64" s="114" t="s">
        <v>53</v>
      </c>
      <c r="S64" s="114" t="s">
        <v>53</v>
      </c>
      <c r="T64" s="114" t="s">
        <v>53</v>
      </c>
      <c r="U64" s="114" t="s">
        <v>53</v>
      </c>
      <c r="V64" s="114" t="s">
        <v>53</v>
      </c>
      <c r="W64" s="114" t="s">
        <v>53</v>
      </c>
      <c r="X64" s="114" t="s">
        <v>53</v>
      </c>
      <c r="Y64" s="114" t="s">
        <v>53</v>
      </c>
      <c r="Z64" s="114" t="s">
        <v>53</v>
      </c>
      <c r="AA64" s="114" t="s">
        <v>53</v>
      </c>
      <c r="AB64" s="114" t="s">
        <v>53</v>
      </c>
      <c r="AC64" s="114" t="s">
        <v>53</v>
      </c>
      <c r="AD64" s="114" t="s">
        <v>53</v>
      </c>
      <c r="AE64" s="114" t="s">
        <v>53</v>
      </c>
      <c r="AF64" s="114" t="s">
        <v>53</v>
      </c>
      <c r="AG64" s="114" t="s">
        <v>53</v>
      </c>
      <c r="AH64" s="114" t="s">
        <v>53</v>
      </c>
      <c r="AI64" s="115">
        <f t="shared" ref="AI64:BS64" si="56">4*AI35/((AH59+AI59)/2/1000)</f>
        <v>1202.2302260751185</v>
      </c>
      <c r="AJ64" s="115">
        <f t="shared" si="56"/>
        <v>1566.4577484583276</v>
      </c>
      <c r="AK64" s="115">
        <f t="shared" si="56"/>
        <v>1602.5339497545958</v>
      </c>
      <c r="AL64" s="115">
        <f t="shared" si="56"/>
        <v>1568.5333205639981</v>
      </c>
      <c r="AM64" s="115">
        <f t="shared" si="56"/>
        <v>1703.3576640535375</v>
      </c>
      <c r="AN64" s="115">
        <f t="shared" si="56"/>
        <v>1497.1363535600906</v>
      </c>
      <c r="AO64" s="115">
        <f t="shared" si="56"/>
        <v>1293.0087789491859</v>
      </c>
      <c r="AP64" s="115">
        <f t="shared" si="56"/>
        <v>1454.0547298951424</v>
      </c>
      <c r="AQ64" s="115">
        <f t="shared" si="56"/>
        <v>1757.4503293192636</v>
      </c>
      <c r="AR64" s="115">
        <f t="shared" si="56"/>
        <v>1096.0921876602565</v>
      </c>
      <c r="AS64" s="115">
        <f t="shared" si="56"/>
        <v>1608.4863953060826</v>
      </c>
      <c r="AT64" s="115">
        <f t="shared" si="56"/>
        <v>955.54761978527597</v>
      </c>
      <c r="AU64" s="115">
        <f t="shared" si="56"/>
        <v>1083.7603301444383</v>
      </c>
      <c r="AV64" s="115">
        <f t="shared" si="56"/>
        <v>713.80363388464912</v>
      </c>
      <c r="AW64" s="115">
        <f t="shared" si="56"/>
        <v>601.351895308964</v>
      </c>
      <c r="AX64" s="115">
        <f t="shared" si="56"/>
        <v>533.77678211693296</v>
      </c>
      <c r="AY64" s="115">
        <f t="shared" si="56"/>
        <v>744.03895142540432</v>
      </c>
      <c r="AZ64" s="115">
        <f t="shared" si="56"/>
        <v>486.57070279424221</v>
      </c>
      <c r="BA64" s="115">
        <f t="shared" si="56"/>
        <v>960.39180436219419</v>
      </c>
      <c r="BB64" s="115">
        <f t="shared" si="56"/>
        <v>824.15049085659302</v>
      </c>
      <c r="BC64" s="115">
        <f t="shared" si="56"/>
        <v>938.44015444015486</v>
      </c>
      <c r="BD64" s="115">
        <f t="shared" si="56"/>
        <v>794.83296213808501</v>
      </c>
      <c r="BE64" s="115">
        <f t="shared" si="56"/>
        <v>815.98165663513873</v>
      </c>
      <c r="BF64" s="114">
        <f t="shared" si="56"/>
        <v>898.88506538196805</v>
      </c>
      <c r="BG64" s="114">
        <f t="shared" si="56"/>
        <v>1183.5701369155258</v>
      </c>
      <c r="BH64" s="114">
        <f t="shared" si="56"/>
        <v>1179.3345432546882</v>
      </c>
      <c r="BI64" s="116">
        <f t="shared" si="56"/>
        <v>998.77456306202464</v>
      </c>
      <c r="BJ64" s="114">
        <f t="shared" si="56"/>
        <v>1230.4991771804716</v>
      </c>
      <c r="BK64" s="114">
        <f t="shared" si="56"/>
        <v>953.27647181194084</v>
      </c>
      <c r="BL64" s="114">
        <f t="shared" si="56"/>
        <v>880.18205204313836</v>
      </c>
      <c r="BM64" s="114">
        <f t="shared" si="56"/>
        <v>923.3490833490838</v>
      </c>
      <c r="BN64" s="114">
        <f t="shared" si="56"/>
        <v>841.8023203525496</v>
      </c>
      <c r="BO64" s="114">
        <f t="shared" si="56"/>
        <v>817.64665988470676</v>
      </c>
      <c r="BP64" s="116">
        <f t="shared" si="56"/>
        <v>662.07560799422117</v>
      </c>
      <c r="BQ64" s="114">
        <f t="shared" si="56"/>
        <v>636.16245210727959</v>
      </c>
      <c r="BR64" s="114">
        <f t="shared" si="56"/>
        <v>658.74543605692736</v>
      </c>
      <c r="BS64" s="114">
        <f t="shared" si="56"/>
        <v>653.17934871722002</v>
      </c>
      <c r="BT64" s="114">
        <f>4*BT35/((BS59+BT59)/2/1000)</f>
        <v>470.35131194382149</v>
      </c>
      <c r="BU64" s="114">
        <f>4*BU35/((BT59+BU59)/2/1000)</f>
        <v>666.78742416807734</v>
      </c>
      <c r="BV64" s="114">
        <f>4*(BV35+35)/((BU59+BV59)/2/1000)</f>
        <v>541.30108442121593</v>
      </c>
      <c r="BW64" s="115">
        <f t="shared" ref="BW64:CC64" si="57">4*BW35/((BV59+BW59)/2/1000)</f>
        <v>468.2399793001079</v>
      </c>
      <c r="BX64" s="115">
        <f t="shared" si="57"/>
        <v>529.71376593917739</v>
      </c>
      <c r="BY64" s="115">
        <f t="shared" si="57"/>
        <v>706.08853170926125</v>
      </c>
      <c r="BZ64" s="114">
        <f t="shared" si="57"/>
        <v>584.98219881164641</v>
      </c>
      <c r="CA64" s="114">
        <f t="shared" si="57"/>
        <v>1416.0098845765585</v>
      </c>
      <c r="CB64" s="114">
        <f t="shared" si="57"/>
        <v>1223.8227320187605</v>
      </c>
      <c r="CC64" s="409">
        <f t="shared" si="57"/>
        <v>1372.8664569449693</v>
      </c>
      <c r="CD64" s="409">
        <f>4*CD35/((CC59+CD59)/2/1000)</f>
        <v>1570.5819761541613</v>
      </c>
      <c r="CE64" s="374">
        <f>4*CE35/((CD59+CE59)/2/1000)</f>
        <v>2228.1026721016133</v>
      </c>
      <c r="CF64" s="356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x14ac:dyDescent="0.2">
      <c r="A65" s="11"/>
      <c r="B65" s="1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3"/>
      <c r="AD65" s="33"/>
      <c r="AE65" s="33"/>
      <c r="AF65" s="33"/>
      <c r="AG65" s="33"/>
      <c r="AH65" s="33"/>
      <c r="AI65" s="33"/>
      <c r="AJ65" s="32"/>
      <c r="AK65" s="7"/>
      <c r="AL65" s="32"/>
      <c r="AM65" s="33"/>
      <c r="AN65" s="32"/>
      <c r="AO65" s="32"/>
      <c r="AP65" s="33"/>
      <c r="AQ65" s="32"/>
      <c r="AR65" s="32"/>
      <c r="AS65" s="32"/>
      <c r="AT65" s="32"/>
      <c r="AU65" s="33"/>
      <c r="AV65" s="33"/>
      <c r="AW65" s="33"/>
      <c r="AX65" s="33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3"/>
      <c r="BJ65" s="32"/>
      <c r="BK65" s="32"/>
      <c r="BL65" s="32"/>
      <c r="BM65" s="32"/>
      <c r="BN65" s="32"/>
      <c r="BO65" s="32"/>
      <c r="BP65" s="7"/>
      <c r="BQ65" s="32"/>
      <c r="BR65" s="7"/>
      <c r="BS65" s="32"/>
      <c r="BT65" s="32"/>
      <c r="BU65" s="32"/>
      <c r="BV65" s="32"/>
      <c r="BW65" s="33"/>
      <c r="BX65" s="33"/>
      <c r="BY65" s="33"/>
      <c r="BZ65" s="32"/>
      <c r="CA65" s="32"/>
      <c r="CB65" s="32"/>
      <c r="CC65" s="392"/>
      <c r="CD65" s="392"/>
      <c r="CE65" s="361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x14ac:dyDescent="0.2">
      <c r="A66" s="304" t="s">
        <v>157</v>
      </c>
      <c r="B66" s="11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  <c r="AD66" s="33"/>
      <c r="AE66" s="33"/>
      <c r="AF66" s="33"/>
      <c r="AG66" s="33"/>
      <c r="AH66" s="33"/>
      <c r="AI66" s="33"/>
      <c r="AJ66" s="32"/>
      <c r="AK66" s="7"/>
      <c r="AL66" s="32"/>
      <c r="AM66" s="33"/>
      <c r="AN66" s="32"/>
      <c r="AO66" s="32"/>
      <c r="AP66" s="32"/>
      <c r="AQ66" s="32"/>
      <c r="AR66" s="32"/>
      <c r="AS66" s="7"/>
      <c r="AT66" s="33"/>
      <c r="AU66" s="33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3"/>
      <c r="BJ66" s="32"/>
      <c r="BK66" s="32"/>
      <c r="BL66" s="32"/>
      <c r="BM66" s="32"/>
      <c r="BN66" s="32"/>
      <c r="BO66" s="32"/>
      <c r="BP66" s="7"/>
      <c r="BQ66" s="32"/>
      <c r="BR66" s="7"/>
      <c r="BS66" s="32"/>
      <c r="BT66" s="32"/>
      <c r="BU66" s="32"/>
      <c r="BV66" s="32"/>
      <c r="BW66" s="33"/>
      <c r="BX66" s="33"/>
      <c r="BY66" s="33"/>
      <c r="BZ66" s="32"/>
      <c r="CA66" s="32"/>
      <c r="CB66" s="32"/>
      <c r="CC66" s="392"/>
      <c r="CD66" s="392"/>
      <c r="CE66" s="361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x14ac:dyDescent="0.2">
      <c r="A67" s="39" t="s">
        <v>167</v>
      </c>
      <c r="B67" s="111"/>
      <c r="C67" s="44" t="s">
        <v>53</v>
      </c>
      <c r="D67" s="41" t="s">
        <v>53</v>
      </c>
      <c r="E67" s="41" t="s">
        <v>53</v>
      </c>
      <c r="F67" s="41" t="s">
        <v>53</v>
      </c>
      <c r="G67" s="41" t="s">
        <v>53</v>
      </c>
      <c r="H67" s="41" t="s">
        <v>53</v>
      </c>
      <c r="I67" s="41" t="s">
        <v>53</v>
      </c>
      <c r="J67" s="41" t="s">
        <v>53</v>
      </c>
      <c r="K67" s="41" t="s">
        <v>53</v>
      </c>
      <c r="L67" s="41" t="s">
        <v>53</v>
      </c>
      <c r="M67" s="41" t="s">
        <v>53</v>
      </c>
      <c r="N67" s="41" t="s">
        <v>53</v>
      </c>
      <c r="O67" s="41" t="s">
        <v>53</v>
      </c>
      <c r="P67" s="41" t="s">
        <v>53</v>
      </c>
      <c r="Q67" s="41" t="s">
        <v>53</v>
      </c>
      <c r="R67" s="41" t="s">
        <v>53</v>
      </c>
      <c r="S67" s="41" t="s">
        <v>53</v>
      </c>
      <c r="T67" s="41" t="s">
        <v>53</v>
      </c>
      <c r="U67" s="41" t="s">
        <v>53</v>
      </c>
      <c r="V67" s="41" t="s">
        <v>53</v>
      </c>
      <c r="W67" s="41" t="s">
        <v>53</v>
      </c>
      <c r="X67" s="41" t="s">
        <v>53</v>
      </c>
      <c r="Y67" s="41" t="s">
        <v>53</v>
      </c>
      <c r="Z67" s="41" t="s">
        <v>53</v>
      </c>
      <c r="AA67" s="41" t="s">
        <v>53</v>
      </c>
      <c r="AB67" s="41" t="s">
        <v>53</v>
      </c>
      <c r="AC67" s="41" t="s">
        <v>53</v>
      </c>
      <c r="AD67" s="41" t="s">
        <v>53</v>
      </c>
      <c r="AE67" s="41" t="s">
        <v>53</v>
      </c>
      <c r="AF67" s="41" t="s">
        <v>53</v>
      </c>
      <c r="AG67" s="41" t="s">
        <v>53</v>
      </c>
      <c r="AH67" s="41" t="s">
        <v>53</v>
      </c>
      <c r="AI67" s="41" t="s">
        <v>53</v>
      </c>
      <c r="AJ67" s="41" t="s">
        <v>53</v>
      </c>
      <c r="AK67" s="41" t="s">
        <v>53</v>
      </c>
      <c r="AL67" s="41" t="s">
        <v>53</v>
      </c>
      <c r="AM67" s="41" t="s">
        <v>53</v>
      </c>
      <c r="AN67" s="41" t="s">
        <v>53</v>
      </c>
      <c r="AO67" s="41" t="s">
        <v>53</v>
      </c>
      <c r="AP67" s="41" t="s">
        <v>53</v>
      </c>
      <c r="AQ67" s="41" t="s">
        <v>53</v>
      </c>
      <c r="AR67" s="41" t="s">
        <v>53</v>
      </c>
      <c r="AS67" s="41" t="s">
        <v>53</v>
      </c>
      <c r="AT67" s="41" t="s">
        <v>53</v>
      </c>
      <c r="AU67" s="41" t="s">
        <v>53</v>
      </c>
      <c r="AV67" s="41" t="s">
        <v>53</v>
      </c>
      <c r="AW67" s="41" t="s">
        <v>53</v>
      </c>
      <c r="AX67" s="41" t="s">
        <v>53</v>
      </c>
      <c r="AY67" s="41" t="s">
        <v>53</v>
      </c>
      <c r="AZ67" s="41" t="s">
        <v>53</v>
      </c>
      <c r="BA67" s="41" t="s">
        <v>53</v>
      </c>
      <c r="BB67" s="41" t="s">
        <v>53</v>
      </c>
      <c r="BC67" s="41" t="s">
        <v>53</v>
      </c>
      <c r="BD67" s="41" t="s">
        <v>53</v>
      </c>
      <c r="BE67" s="41" t="s">
        <v>53</v>
      </c>
      <c r="BF67" s="41" t="s">
        <v>53</v>
      </c>
      <c r="BG67" s="41">
        <v>7939.7</v>
      </c>
      <c r="BH67" s="41">
        <v>4022</v>
      </c>
      <c r="BI67" s="43">
        <v>4154</v>
      </c>
      <c r="BJ67" s="41">
        <v>4123</v>
      </c>
      <c r="BK67" s="41">
        <v>4525</v>
      </c>
      <c r="BL67" s="41">
        <v>4958.2</v>
      </c>
      <c r="BM67" s="41">
        <v>5102</v>
      </c>
      <c r="BN67" s="41">
        <v>5457.9830662599989</v>
      </c>
      <c r="BO67" s="41">
        <v>7910.481252979991</v>
      </c>
      <c r="BP67" s="43">
        <v>7206.4285610899933</v>
      </c>
      <c r="BQ67" s="41">
        <v>5353.7595602800056</v>
      </c>
      <c r="BR67" s="43">
        <v>6601.4229058099918</v>
      </c>
      <c r="BS67" s="41">
        <v>7073.0152325099989</v>
      </c>
      <c r="BT67" s="41">
        <v>5121.0328322200148</v>
      </c>
      <c r="BU67" s="41">
        <v>7179.5046112499977</v>
      </c>
      <c r="BV67" s="41">
        <v>6881.4409721222519</v>
      </c>
      <c r="BW67" s="42">
        <v>7298.7897590299926</v>
      </c>
      <c r="BX67" s="42">
        <v>7188.4541603099879</v>
      </c>
      <c r="BY67" s="42">
        <v>8627.7539306400067</v>
      </c>
      <c r="BZ67" s="41">
        <v>7966.8103195600088</v>
      </c>
      <c r="CA67" s="41">
        <v>19331.539346580033</v>
      </c>
      <c r="CB67" s="41">
        <v>13061.571032170006</v>
      </c>
      <c r="CC67" s="41">
        <v>13747.495642960017</v>
      </c>
      <c r="CD67" s="41">
        <v>17513.917525590001</v>
      </c>
      <c r="CE67" s="452">
        <v>28517.78427321999</v>
      </c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x14ac:dyDescent="0.2">
      <c r="A68" s="47" t="s">
        <v>145</v>
      </c>
      <c r="B68" s="111"/>
      <c r="C68" s="52" t="s">
        <v>53</v>
      </c>
      <c r="D68" s="49" t="s">
        <v>53</v>
      </c>
      <c r="E68" s="49" t="s">
        <v>53</v>
      </c>
      <c r="F68" s="49" t="s">
        <v>53</v>
      </c>
      <c r="G68" s="49" t="s">
        <v>53</v>
      </c>
      <c r="H68" s="49" t="s">
        <v>53</v>
      </c>
      <c r="I68" s="49" t="s">
        <v>53</v>
      </c>
      <c r="J68" s="49" t="s">
        <v>53</v>
      </c>
      <c r="K68" s="49" t="s">
        <v>53</v>
      </c>
      <c r="L68" s="49" t="s">
        <v>53</v>
      </c>
      <c r="M68" s="49" t="s">
        <v>53</v>
      </c>
      <c r="N68" s="49" t="s">
        <v>53</v>
      </c>
      <c r="O68" s="49" t="s">
        <v>53</v>
      </c>
      <c r="P68" s="49" t="s">
        <v>53</v>
      </c>
      <c r="Q68" s="49" t="s">
        <v>53</v>
      </c>
      <c r="R68" s="49" t="s">
        <v>53</v>
      </c>
      <c r="S68" s="49" t="s">
        <v>53</v>
      </c>
      <c r="T68" s="49" t="s">
        <v>53</v>
      </c>
      <c r="U68" s="49" t="s">
        <v>53</v>
      </c>
      <c r="V68" s="49" t="s">
        <v>53</v>
      </c>
      <c r="W68" s="49" t="s">
        <v>53</v>
      </c>
      <c r="X68" s="49" t="s">
        <v>53</v>
      </c>
      <c r="Y68" s="49" t="s">
        <v>53</v>
      </c>
      <c r="Z68" s="49" t="s">
        <v>53</v>
      </c>
      <c r="AA68" s="49" t="s">
        <v>53</v>
      </c>
      <c r="AB68" s="49" t="s">
        <v>53</v>
      </c>
      <c r="AC68" s="49" t="s">
        <v>53</v>
      </c>
      <c r="AD68" s="49" t="s">
        <v>53</v>
      </c>
      <c r="AE68" s="49" t="s">
        <v>53</v>
      </c>
      <c r="AF68" s="49" t="s">
        <v>53</v>
      </c>
      <c r="AG68" s="49" t="s">
        <v>53</v>
      </c>
      <c r="AH68" s="49" t="s">
        <v>53</v>
      </c>
      <c r="AI68" s="49" t="s">
        <v>53</v>
      </c>
      <c r="AJ68" s="49" t="s">
        <v>53</v>
      </c>
      <c r="AK68" s="49" t="s">
        <v>53</v>
      </c>
      <c r="AL68" s="49" t="s">
        <v>53</v>
      </c>
      <c r="AM68" s="49" t="s">
        <v>53</v>
      </c>
      <c r="AN68" s="49" t="s">
        <v>53</v>
      </c>
      <c r="AO68" s="49" t="s">
        <v>53</v>
      </c>
      <c r="AP68" s="49" t="s">
        <v>53</v>
      </c>
      <c r="AQ68" s="49" t="s">
        <v>53</v>
      </c>
      <c r="AR68" s="49" t="s">
        <v>53</v>
      </c>
      <c r="AS68" s="49" t="s">
        <v>53</v>
      </c>
      <c r="AT68" s="49" t="s">
        <v>53</v>
      </c>
      <c r="AU68" s="49" t="s">
        <v>53</v>
      </c>
      <c r="AV68" s="49" t="s">
        <v>53</v>
      </c>
      <c r="AW68" s="49" t="s">
        <v>53</v>
      </c>
      <c r="AX68" s="49" t="s">
        <v>53</v>
      </c>
      <c r="AY68" s="49" t="s">
        <v>53</v>
      </c>
      <c r="AZ68" s="49" t="s">
        <v>53</v>
      </c>
      <c r="BA68" s="49" t="s">
        <v>53</v>
      </c>
      <c r="BB68" s="49" t="s">
        <v>53</v>
      </c>
      <c r="BC68" s="49" t="s">
        <v>53</v>
      </c>
      <c r="BD68" s="49" t="s">
        <v>53</v>
      </c>
      <c r="BE68" s="49" t="s">
        <v>53</v>
      </c>
      <c r="BF68" s="49" t="s">
        <v>53</v>
      </c>
      <c r="BG68" s="49">
        <v>1945.3</v>
      </c>
      <c r="BH68" s="49">
        <v>324</v>
      </c>
      <c r="BI68" s="51">
        <v>694</v>
      </c>
      <c r="BJ68" s="49">
        <v>1359</v>
      </c>
      <c r="BK68" s="49">
        <v>322</v>
      </c>
      <c r="BL68" s="49">
        <v>4344.8</v>
      </c>
      <c r="BM68" s="49">
        <v>743</v>
      </c>
      <c r="BN68" s="49">
        <v>617.70146507999539</v>
      </c>
      <c r="BO68" s="49">
        <v>591.90536028000236</v>
      </c>
      <c r="BP68" s="51">
        <v>975.15754036999829</v>
      </c>
      <c r="BQ68" s="49">
        <v>379.1225933300023</v>
      </c>
      <c r="BR68" s="51">
        <v>-2880.7412556099889</v>
      </c>
      <c r="BS68" s="49">
        <v>727.7579353399982</v>
      </c>
      <c r="BT68" s="49">
        <v>-289.48889455001068</v>
      </c>
      <c r="BU68" s="49">
        <v>766.06802648000121</v>
      </c>
      <c r="BV68" s="49">
        <v>-478.94586431000141</v>
      </c>
      <c r="BW68" s="50">
        <v>271.91807034000215</v>
      </c>
      <c r="BX68" s="50">
        <v>1094.6512279400024</v>
      </c>
      <c r="BY68" s="50">
        <v>1285.1164688700082</v>
      </c>
      <c r="BZ68" s="49">
        <v>-948.38430529999778</v>
      </c>
      <c r="CA68" s="49">
        <v>2505.4537160399723</v>
      </c>
      <c r="CB68" s="49">
        <v>6229.9764997300026</v>
      </c>
      <c r="CC68" s="394">
        <v>2130.4960298799824</v>
      </c>
      <c r="CD68" s="394">
        <v>1177.1605823500099</v>
      </c>
      <c r="CE68" s="453">
        <v>1846.9344080899828</v>
      </c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x14ac:dyDescent="0.2">
      <c r="A69" s="47" t="s">
        <v>146</v>
      </c>
      <c r="B69" s="111"/>
      <c r="C69" s="52" t="s">
        <v>53</v>
      </c>
      <c r="D69" s="49" t="s">
        <v>53</v>
      </c>
      <c r="E69" s="49" t="s">
        <v>53</v>
      </c>
      <c r="F69" s="49" t="s">
        <v>53</v>
      </c>
      <c r="G69" s="49" t="s">
        <v>53</v>
      </c>
      <c r="H69" s="49" t="s">
        <v>53</v>
      </c>
      <c r="I69" s="49" t="s">
        <v>53</v>
      </c>
      <c r="J69" s="49" t="s">
        <v>53</v>
      </c>
      <c r="K69" s="49" t="s">
        <v>53</v>
      </c>
      <c r="L69" s="49" t="s">
        <v>53</v>
      </c>
      <c r="M69" s="49" t="s">
        <v>53</v>
      </c>
      <c r="N69" s="49" t="s">
        <v>53</v>
      </c>
      <c r="O69" s="49" t="s">
        <v>53</v>
      </c>
      <c r="P69" s="49" t="s">
        <v>53</v>
      </c>
      <c r="Q69" s="49" t="s">
        <v>53</v>
      </c>
      <c r="R69" s="49" t="s">
        <v>53</v>
      </c>
      <c r="S69" s="49" t="s">
        <v>53</v>
      </c>
      <c r="T69" s="49" t="s">
        <v>53</v>
      </c>
      <c r="U69" s="49" t="s">
        <v>53</v>
      </c>
      <c r="V69" s="49" t="s">
        <v>53</v>
      </c>
      <c r="W69" s="49" t="s">
        <v>53</v>
      </c>
      <c r="X69" s="49" t="s">
        <v>53</v>
      </c>
      <c r="Y69" s="49" t="s">
        <v>53</v>
      </c>
      <c r="Z69" s="49" t="s">
        <v>53</v>
      </c>
      <c r="AA69" s="49" t="s">
        <v>53</v>
      </c>
      <c r="AB69" s="49" t="s">
        <v>53</v>
      </c>
      <c r="AC69" s="49" t="s">
        <v>53</v>
      </c>
      <c r="AD69" s="49" t="s">
        <v>53</v>
      </c>
      <c r="AE69" s="49" t="s">
        <v>53</v>
      </c>
      <c r="AF69" s="49" t="s">
        <v>53</v>
      </c>
      <c r="AG69" s="49" t="s">
        <v>53</v>
      </c>
      <c r="AH69" s="49" t="s">
        <v>53</v>
      </c>
      <c r="AI69" s="49" t="s">
        <v>53</v>
      </c>
      <c r="AJ69" s="49" t="s">
        <v>53</v>
      </c>
      <c r="AK69" s="49" t="s">
        <v>53</v>
      </c>
      <c r="AL69" s="49" t="s">
        <v>53</v>
      </c>
      <c r="AM69" s="49" t="s">
        <v>53</v>
      </c>
      <c r="AN69" s="49" t="s">
        <v>53</v>
      </c>
      <c r="AO69" s="49" t="s">
        <v>53</v>
      </c>
      <c r="AP69" s="49" t="s">
        <v>53</v>
      </c>
      <c r="AQ69" s="49" t="s">
        <v>53</v>
      </c>
      <c r="AR69" s="49" t="s">
        <v>53</v>
      </c>
      <c r="AS69" s="49" t="s">
        <v>53</v>
      </c>
      <c r="AT69" s="49" t="s">
        <v>53</v>
      </c>
      <c r="AU69" s="49" t="s">
        <v>53</v>
      </c>
      <c r="AV69" s="49" t="s">
        <v>53</v>
      </c>
      <c r="AW69" s="49" t="s">
        <v>53</v>
      </c>
      <c r="AX69" s="49" t="s">
        <v>53</v>
      </c>
      <c r="AY69" s="49" t="s">
        <v>53</v>
      </c>
      <c r="AZ69" s="49" t="s">
        <v>53</v>
      </c>
      <c r="BA69" s="49" t="s">
        <v>53</v>
      </c>
      <c r="BB69" s="49" t="s">
        <v>53</v>
      </c>
      <c r="BC69" s="49" t="s">
        <v>53</v>
      </c>
      <c r="BD69" s="49" t="s">
        <v>53</v>
      </c>
      <c r="BE69" s="49" t="s">
        <v>53</v>
      </c>
      <c r="BF69" s="49" t="s">
        <v>53</v>
      </c>
      <c r="BG69" s="49">
        <v>133</v>
      </c>
      <c r="BH69" s="49">
        <v>26</v>
      </c>
      <c r="BI69" s="51">
        <v>160</v>
      </c>
      <c r="BJ69" s="49">
        <v>308</v>
      </c>
      <c r="BK69" s="49">
        <v>108</v>
      </c>
      <c r="BL69" s="49">
        <v>128</v>
      </c>
      <c r="BM69" s="49">
        <v>77</v>
      </c>
      <c r="BN69" s="49">
        <v>138.16671528000077</v>
      </c>
      <c r="BO69" s="49">
        <v>118.94651649000014</v>
      </c>
      <c r="BP69" s="51">
        <v>528.93706666000014</v>
      </c>
      <c r="BQ69" s="49">
        <v>166.42519941000012</v>
      </c>
      <c r="BR69" s="51">
        <v>-171.61604328000061</v>
      </c>
      <c r="BS69" s="49">
        <v>163.22551284999992</v>
      </c>
      <c r="BT69" s="49">
        <v>12.840283020000996</v>
      </c>
      <c r="BU69" s="49">
        <v>433.51136703000032</v>
      </c>
      <c r="BV69" s="49">
        <v>-39.550169870000076</v>
      </c>
      <c r="BW69" s="50">
        <v>-1.2842397299994133</v>
      </c>
      <c r="BX69" s="50">
        <v>-15.522343329999558</v>
      </c>
      <c r="BY69" s="50">
        <v>26.675938240000448</v>
      </c>
      <c r="BZ69" s="49">
        <v>-203.27792310999948</v>
      </c>
      <c r="CA69" s="49">
        <v>48.52343778999775</v>
      </c>
      <c r="CB69" s="49">
        <v>87.043512589999736</v>
      </c>
      <c r="CC69" s="394">
        <v>444.51828604000065</v>
      </c>
      <c r="CD69" s="394">
        <v>-18.602731850001199</v>
      </c>
      <c r="CE69" s="453">
        <v>180.09631457000171</v>
      </c>
    </row>
    <row r="70" spans="1:257" s="31" customFormat="1" x14ac:dyDescent="0.2">
      <c r="A70" s="269" t="s">
        <v>147</v>
      </c>
      <c r="B70" s="270"/>
      <c r="C70" s="56" t="s">
        <v>37</v>
      </c>
      <c r="D70" s="56" t="s">
        <v>37</v>
      </c>
      <c r="E70" s="56" t="s">
        <v>37</v>
      </c>
      <c r="F70" s="56" t="s">
        <v>37</v>
      </c>
      <c r="G70" s="56" t="s">
        <v>37</v>
      </c>
      <c r="H70" s="56" t="s">
        <v>37</v>
      </c>
      <c r="I70" s="56" t="s">
        <v>37</v>
      </c>
      <c r="J70" s="56" t="s">
        <v>37</v>
      </c>
      <c r="K70" s="56">
        <v>362.56</v>
      </c>
      <c r="L70" s="56">
        <v>163.858</v>
      </c>
      <c r="M70" s="56">
        <v>467.76600000000002</v>
      </c>
      <c r="N70" s="56">
        <v>663.51800000000003</v>
      </c>
      <c r="O70" s="56">
        <v>1194.712</v>
      </c>
      <c r="P70" s="56">
        <v>548.32799999999997</v>
      </c>
      <c r="Q70" s="56">
        <v>356.17700000000002</v>
      </c>
      <c r="R70" s="56">
        <v>1195.723</v>
      </c>
      <c r="S70" s="56">
        <v>1541.278</v>
      </c>
      <c r="T70" s="56">
        <v>802.87300000000005</v>
      </c>
      <c r="U70" s="56">
        <v>1255.0429999999999</v>
      </c>
      <c r="V70" s="56">
        <v>2060.7420000000002</v>
      </c>
      <c r="W70" s="56">
        <v>2367.7689999999998</v>
      </c>
      <c r="X70" s="56">
        <v>1631.527</v>
      </c>
      <c r="Y70" s="56">
        <v>537.36599999999999</v>
      </c>
      <c r="Z70" s="56">
        <v>1495.5050000000001</v>
      </c>
      <c r="AA70" s="56">
        <v>1759.519</v>
      </c>
      <c r="AB70" s="56">
        <v>1084.5630000000001</v>
      </c>
      <c r="AC70" s="56">
        <v>1223.5999999999999</v>
      </c>
      <c r="AD70" s="56">
        <v>935.5</v>
      </c>
      <c r="AE70" s="56">
        <v>2789</v>
      </c>
      <c r="AF70" s="56">
        <v>1424</v>
      </c>
      <c r="AG70" s="56">
        <v>647</v>
      </c>
      <c r="AH70" s="56">
        <v>1901</v>
      </c>
      <c r="AI70" s="56">
        <v>1999</v>
      </c>
      <c r="AJ70" s="56">
        <v>2497</v>
      </c>
      <c r="AK70" s="56">
        <v>2883</v>
      </c>
      <c r="AL70" s="56">
        <v>2567</v>
      </c>
      <c r="AM70" s="56">
        <v>4421</v>
      </c>
      <c r="AN70" s="56">
        <v>2641</v>
      </c>
      <c r="AO70" s="56">
        <v>1370</v>
      </c>
      <c r="AP70" s="56">
        <v>1134</v>
      </c>
      <c r="AQ70" s="56">
        <v>4062</v>
      </c>
      <c r="AR70" s="56">
        <v>727</v>
      </c>
      <c r="AS70" s="56">
        <v>1548</v>
      </c>
      <c r="AT70" s="56">
        <v>121</v>
      </c>
      <c r="AU70" s="56">
        <v>1911</v>
      </c>
      <c r="AV70" s="56">
        <v>1075</v>
      </c>
      <c r="AW70" s="56">
        <v>971</v>
      </c>
      <c r="AX70" s="56">
        <v>1418</v>
      </c>
      <c r="AY70" s="56">
        <v>3287</v>
      </c>
      <c r="AZ70" s="56">
        <v>2861</v>
      </c>
      <c r="BA70" s="56">
        <v>2263</v>
      </c>
      <c r="BB70" s="56">
        <v>2487</v>
      </c>
      <c r="BC70" s="56">
        <v>5522</v>
      </c>
      <c r="BD70" s="56">
        <v>4040</v>
      </c>
      <c r="BE70" s="56">
        <v>4561</v>
      </c>
      <c r="BF70" s="56">
        <v>5939</v>
      </c>
      <c r="BG70" s="56">
        <v>10018</v>
      </c>
      <c r="BH70" s="56">
        <v>4372</v>
      </c>
      <c r="BI70" s="56">
        <v>5008</v>
      </c>
      <c r="BJ70" s="56">
        <v>5790</v>
      </c>
      <c r="BK70" s="56">
        <v>4955</v>
      </c>
      <c r="BL70" s="56">
        <v>9431</v>
      </c>
      <c r="BM70" s="56">
        <v>5922</v>
      </c>
      <c r="BN70" s="56">
        <v>6214</v>
      </c>
      <c r="BO70" s="56">
        <v>8621.3331297499935</v>
      </c>
      <c r="BP70" s="56">
        <v>8710.5231681199912</v>
      </c>
      <c r="BQ70" s="56">
        <v>5899.3073530200081</v>
      </c>
      <c r="BR70" s="56">
        <v>3549.0656069200027</v>
      </c>
      <c r="BS70" s="56">
        <v>7964</v>
      </c>
      <c r="BT70" s="56">
        <v>4844</v>
      </c>
      <c r="BU70" s="56">
        <v>8379.0840047599995</v>
      </c>
      <c r="BV70" s="56">
        <v>6362.9449379422513</v>
      </c>
      <c r="BW70" s="58">
        <v>7569.423589639995</v>
      </c>
      <c r="BX70" s="58">
        <v>8268</v>
      </c>
      <c r="BY70" s="58">
        <v>9939.5463377500146</v>
      </c>
      <c r="BZ70" s="56">
        <v>6815.1480911500112</v>
      </c>
      <c r="CA70" s="56">
        <v>21885.516500410002</v>
      </c>
      <c r="CB70" s="56">
        <v>19378.591044490007</v>
      </c>
      <c r="CC70" s="395">
        <v>16329.47645246</v>
      </c>
      <c r="CD70" s="395">
        <v>18672.475376089998</v>
      </c>
      <c r="CE70" s="454">
        <v>30544.814995879973</v>
      </c>
      <c r="CF70" s="356"/>
      <c r="CG70"/>
      <c r="CH70"/>
      <c r="CR70" s="271"/>
    </row>
    <row r="71" spans="1:257" x14ac:dyDescent="0.2">
      <c r="A71" s="127"/>
      <c r="B71" s="128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3"/>
      <c r="AD71" s="33"/>
      <c r="AE71" s="33"/>
      <c r="AF71" s="33"/>
      <c r="AG71" s="33"/>
      <c r="AH71" s="33"/>
      <c r="AI71" s="33"/>
      <c r="AJ71" s="32"/>
      <c r="AK71" s="7"/>
      <c r="AL71" s="32"/>
      <c r="AM71" s="33"/>
      <c r="AN71" s="32"/>
      <c r="AO71" s="32"/>
      <c r="AP71" s="32"/>
      <c r="AQ71" s="32"/>
      <c r="AR71" s="32"/>
      <c r="AS71" s="7"/>
      <c r="AT71" s="33"/>
      <c r="AU71" s="33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3"/>
      <c r="BJ71" s="32"/>
      <c r="BK71" s="32"/>
      <c r="BL71" s="32"/>
      <c r="BM71" s="32"/>
      <c r="BN71" s="32"/>
      <c r="BO71" s="32"/>
      <c r="BP71" s="7"/>
      <c r="BQ71" s="32"/>
      <c r="BR71" s="32"/>
      <c r="BS71" s="32"/>
      <c r="BT71" s="32"/>
      <c r="BU71" s="32"/>
      <c r="BV71" s="32"/>
      <c r="BW71" s="33"/>
      <c r="BX71" s="33"/>
      <c r="BY71" s="33"/>
      <c r="BZ71" s="32"/>
      <c r="CA71" s="32"/>
      <c r="CB71" s="32"/>
      <c r="CC71" s="392"/>
      <c r="CD71" s="392"/>
      <c r="CE71" s="361"/>
      <c r="CR71" s="263"/>
    </row>
    <row r="72" spans="1:257" x14ac:dyDescent="0.2">
      <c r="A72" s="304" t="s">
        <v>158</v>
      </c>
      <c r="B72" s="1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3"/>
      <c r="AD72" s="33"/>
      <c r="AE72" s="33"/>
      <c r="AF72" s="33"/>
      <c r="AG72" s="33"/>
      <c r="AH72" s="33"/>
      <c r="AI72" s="33"/>
      <c r="AJ72" s="32"/>
      <c r="AK72" s="7"/>
      <c r="AL72" s="32"/>
      <c r="AM72" s="33"/>
      <c r="AN72" s="32"/>
      <c r="AO72" s="32"/>
      <c r="AP72" s="33"/>
      <c r="AQ72" s="32"/>
      <c r="AR72" s="32"/>
      <c r="AS72" s="32"/>
      <c r="AT72" s="32"/>
      <c r="AU72" s="33"/>
      <c r="AV72" s="33"/>
      <c r="AW72" s="33"/>
      <c r="AX72" s="33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3"/>
      <c r="BJ72" s="32"/>
      <c r="BK72" s="32"/>
      <c r="BL72" s="32"/>
      <c r="BM72" s="32"/>
      <c r="BN72" s="32"/>
      <c r="BO72" s="32"/>
      <c r="BP72" s="7"/>
      <c r="BQ72" s="32"/>
      <c r="BR72" s="7"/>
      <c r="BS72" s="32"/>
      <c r="BT72" s="32"/>
      <c r="BU72" s="32"/>
      <c r="BV72" s="32"/>
      <c r="BW72" s="33"/>
      <c r="BX72" s="33"/>
      <c r="BY72" s="33"/>
      <c r="BZ72" s="32"/>
      <c r="CA72" s="32"/>
      <c r="CB72" s="32"/>
      <c r="CC72" s="392"/>
      <c r="CD72" s="392"/>
      <c r="CE72" s="361"/>
    </row>
    <row r="73" spans="1:257" x14ac:dyDescent="0.2">
      <c r="A73" s="39" t="s">
        <v>102</v>
      </c>
      <c r="B73" s="120">
        <f>7000-B74-B75</f>
        <v>6630.5</v>
      </c>
      <c r="C73" s="41">
        <f t="shared" ref="C73:AH73" si="58">+C78-C74-C75</f>
        <v>5482.4000000000005</v>
      </c>
      <c r="D73" s="41">
        <f t="shared" si="58"/>
        <v>5412</v>
      </c>
      <c r="E73" s="41">
        <f t="shared" si="58"/>
        <v>7500.9</v>
      </c>
      <c r="F73" s="41">
        <f t="shared" si="58"/>
        <v>7079.4</v>
      </c>
      <c r="G73" s="41">
        <f t="shared" si="58"/>
        <v>7557.3000000000011</v>
      </c>
      <c r="H73" s="41">
        <f t="shared" si="58"/>
        <v>5436.8000000000011</v>
      </c>
      <c r="I73" s="41">
        <f t="shared" si="58"/>
        <v>4147.6000000000004</v>
      </c>
      <c r="J73" s="41">
        <f t="shared" si="58"/>
        <v>5354.7</v>
      </c>
      <c r="K73" s="41">
        <f t="shared" si="58"/>
        <v>5071.4000000000005</v>
      </c>
      <c r="L73" s="41">
        <f t="shared" si="58"/>
        <v>6339.4</v>
      </c>
      <c r="M73" s="41">
        <f t="shared" si="58"/>
        <v>7704.5</v>
      </c>
      <c r="N73" s="41">
        <f t="shared" si="58"/>
        <v>9539.8000000000011</v>
      </c>
      <c r="O73" s="41">
        <f t="shared" si="58"/>
        <v>12147.9</v>
      </c>
      <c r="P73" s="41">
        <f t="shared" si="58"/>
        <v>12744.2</v>
      </c>
      <c r="Q73" s="41">
        <f t="shared" si="58"/>
        <v>12659.5</v>
      </c>
      <c r="R73" s="41">
        <f t="shared" si="58"/>
        <v>14440.1</v>
      </c>
      <c r="S73" s="41">
        <f t="shared" si="58"/>
        <v>16613</v>
      </c>
      <c r="T73" s="41">
        <f t="shared" si="58"/>
        <v>18116</v>
      </c>
      <c r="U73" s="41">
        <f t="shared" si="58"/>
        <v>21078</v>
      </c>
      <c r="V73" s="41">
        <f t="shared" si="58"/>
        <v>24466</v>
      </c>
      <c r="W73" s="41">
        <f t="shared" si="58"/>
        <v>29013</v>
      </c>
      <c r="X73" s="41">
        <f t="shared" si="58"/>
        <v>26731</v>
      </c>
      <c r="Y73" s="41">
        <f t="shared" si="58"/>
        <v>28561.999999999996</v>
      </c>
      <c r="Z73" s="41">
        <f t="shared" si="58"/>
        <v>33691</v>
      </c>
      <c r="AA73" s="41">
        <f t="shared" si="58"/>
        <v>35489</v>
      </c>
      <c r="AB73" s="41">
        <f t="shared" si="58"/>
        <v>36850</v>
      </c>
      <c r="AC73" s="41">
        <f t="shared" si="58"/>
        <v>35822</v>
      </c>
      <c r="AD73" s="41">
        <f t="shared" si="58"/>
        <v>32154</v>
      </c>
      <c r="AE73" s="41">
        <f t="shared" si="58"/>
        <v>31774</v>
      </c>
      <c r="AF73" s="41">
        <f t="shared" si="58"/>
        <v>30411</v>
      </c>
      <c r="AG73" s="41">
        <f t="shared" si="58"/>
        <v>26185</v>
      </c>
      <c r="AH73" s="41">
        <f t="shared" si="58"/>
        <v>21703.261999999999</v>
      </c>
      <c r="AI73" s="41">
        <f t="shared" ref="AI73:BN73" si="59">+AI78-AI74-AI75</f>
        <v>24492</v>
      </c>
      <c r="AJ73" s="41">
        <f t="shared" si="59"/>
        <v>31467</v>
      </c>
      <c r="AK73" s="41">
        <f t="shared" si="59"/>
        <v>37698</v>
      </c>
      <c r="AL73" s="41">
        <f t="shared" si="59"/>
        <v>42294</v>
      </c>
      <c r="AM73" s="41">
        <f t="shared" si="59"/>
        <v>49310</v>
      </c>
      <c r="AN73" s="41">
        <f t="shared" si="59"/>
        <v>47253</v>
      </c>
      <c r="AO73" s="41">
        <f t="shared" si="59"/>
        <v>51034</v>
      </c>
      <c r="AP73" s="41">
        <f t="shared" si="59"/>
        <v>56411</v>
      </c>
      <c r="AQ73" s="41">
        <f t="shared" si="59"/>
        <v>61958</v>
      </c>
      <c r="AR73" s="41">
        <f t="shared" si="59"/>
        <v>57556</v>
      </c>
      <c r="AS73" s="41">
        <f t="shared" si="59"/>
        <v>44530</v>
      </c>
      <c r="AT73" s="41">
        <f t="shared" si="59"/>
        <v>46934</v>
      </c>
      <c r="AU73" s="41">
        <f t="shared" si="59"/>
        <v>54356</v>
      </c>
      <c r="AV73" s="41">
        <f t="shared" si="59"/>
        <v>49989</v>
      </c>
      <c r="AW73" s="41">
        <f t="shared" si="59"/>
        <v>52045</v>
      </c>
      <c r="AX73" s="41">
        <f t="shared" si="59"/>
        <v>54521</v>
      </c>
      <c r="AY73" s="41">
        <f t="shared" si="59"/>
        <v>59809</v>
      </c>
      <c r="AZ73" s="41">
        <f t="shared" si="59"/>
        <v>58472</v>
      </c>
      <c r="BA73" s="41">
        <f t="shared" si="59"/>
        <v>65626</v>
      </c>
      <c r="BB73" s="41">
        <f t="shared" si="59"/>
        <v>70352</v>
      </c>
      <c r="BC73" s="41">
        <f t="shared" si="59"/>
        <v>76440</v>
      </c>
      <c r="BD73" s="41">
        <f t="shared" si="59"/>
        <v>79624</v>
      </c>
      <c r="BE73" s="41">
        <f t="shared" si="59"/>
        <v>80863</v>
      </c>
      <c r="BF73" s="41">
        <f t="shared" si="59"/>
        <v>84387.909451099986</v>
      </c>
      <c r="BG73" s="41">
        <f t="shared" si="59"/>
        <v>97892</v>
      </c>
      <c r="BH73" s="41">
        <f t="shared" si="59"/>
        <v>96519</v>
      </c>
      <c r="BI73" s="41">
        <f t="shared" si="59"/>
        <v>99740.667381601859</v>
      </c>
      <c r="BJ73" s="41">
        <f t="shared" si="59"/>
        <v>119028.81067560156</v>
      </c>
      <c r="BK73" s="41">
        <f t="shared" si="59"/>
        <v>116424.00880225</v>
      </c>
      <c r="BL73" s="41">
        <f t="shared" si="59"/>
        <v>122824</v>
      </c>
      <c r="BM73" s="41">
        <f t="shared" si="59"/>
        <v>140701</v>
      </c>
      <c r="BN73" s="41">
        <f t="shared" si="59"/>
        <v>145272</v>
      </c>
      <c r="BO73" s="41">
        <f t="shared" ref="BO73:BT73" si="60">+BO78-BO74-BO75</f>
        <v>152304.9353092573</v>
      </c>
      <c r="BP73" s="41">
        <f t="shared" si="60"/>
        <v>156276.32403116589</v>
      </c>
      <c r="BQ73" s="41">
        <f t="shared" si="60"/>
        <v>161724.88705384952</v>
      </c>
      <c r="BR73" s="41">
        <f t="shared" si="60"/>
        <v>159446.85219854221</v>
      </c>
      <c r="BS73" s="41">
        <f t="shared" si="60"/>
        <v>161624</v>
      </c>
      <c r="BT73" s="41">
        <f t="shared" si="60"/>
        <v>171060.01199999999</v>
      </c>
      <c r="BU73" s="41">
        <f t="shared" ref="BU73:BZ73" si="61">+BU78-BU74-BU75</f>
        <v>185009.76101166912</v>
      </c>
      <c r="BV73" s="41">
        <f t="shared" si="61"/>
        <v>160964.48217900313</v>
      </c>
      <c r="BW73" s="42">
        <f t="shared" si="61"/>
        <v>184541.44027388864</v>
      </c>
      <c r="BX73" s="42">
        <f t="shared" si="61"/>
        <v>197433.49786916055</v>
      </c>
      <c r="BY73" s="42">
        <f t="shared" si="61"/>
        <v>205493.91465606721</v>
      </c>
      <c r="BZ73" s="41">
        <f t="shared" si="61"/>
        <v>225021.71171163066</v>
      </c>
      <c r="CA73" s="41">
        <f>+CA78-CA74-CA75</f>
        <v>190556.80910298449</v>
      </c>
      <c r="CB73" s="41">
        <f>+CB78-CB74-CB75</f>
        <v>251207.89838917513</v>
      </c>
      <c r="CC73" s="393">
        <f>+CC78-CC74-CC75</f>
        <v>304493.10977555125</v>
      </c>
      <c r="CD73" s="393">
        <v>342070.97393594531</v>
      </c>
      <c r="CE73" s="452">
        <v>395180.25235451048</v>
      </c>
    </row>
    <row r="74" spans="1:257" x14ac:dyDescent="0.2">
      <c r="A74" s="47" t="s">
        <v>103</v>
      </c>
      <c r="B74" s="48">
        <v>230</v>
      </c>
      <c r="C74" s="49">
        <v>240</v>
      </c>
      <c r="D74" s="49">
        <v>250</v>
      </c>
      <c r="E74" s="49">
        <v>270</v>
      </c>
      <c r="F74" s="49">
        <v>280</v>
      </c>
      <c r="G74" s="49">
        <v>300</v>
      </c>
      <c r="H74" s="49">
        <v>320</v>
      </c>
      <c r="I74" s="49">
        <v>350</v>
      </c>
      <c r="J74" s="49">
        <v>380</v>
      </c>
      <c r="K74" s="49">
        <v>390</v>
      </c>
      <c r="L74" s="49">
        <v>400</v>
      </c>
      <c r="M74" s="49">
        <v>480</v>
      </c>
      <c r="N74" s="49">
        <v>500</v>
      </c>
      <c r="O74" s="49">
        <v>772</v>
      </c>
      <c r="P74" s="49">
        <v>783</v>
      </c>
      <c r="Q74" s="49">
        <v>900</v>
      </c>
      <c r="R74" s="49">
        <v>1096</v>
      </c>
      <c r="S74" s="49">
        <v>1645</v>
      </c>
      <c r="T74" s="49">
        <v>2127</v>
      </c>
      <c r="U74" s="49">
        <v>3179</v>
      </c>
      <c r="V74" s="49">
        <v>3877</v>
      </c>
      <c r="W74" s="49">
        <v>5640</v>
      </c>
      <c r="X74" s="49">
        <v>4825</v>
      </c>
      <c r="Y74" s="49">
        <v>5583</v>
      </c>
      <c r="Z74" s="49">
        <v>6553</v>
      </c>
      <c r="AA74" s="49">
        <v>7383</v>
      </c>
      <c r="AB74" s="49">
        <v>8291</v>
      </c>
      <c r="AC74" s="50">
        <v>8943</v>
      </c>
      <c r="AD74" s="50">
        <v>8956</v>
      </c>
      <c r="AE74" s="50">
        <v>7957</v>
      </c>
      <c r="AF74" s="50">
        <v>8098</v>
      </c>
      <c r="AG74" s="50">
        <v>6983</v>
      </c>
      <c r="AH74" s="50">
        <v>6189.84</v>
      </c>
      <c r="AI74" s="50">
        <v>6710</v>
      </c>
      <c r="AJ74" s="49">
        <v>9252</v>
      </c>
      <c r="AK74" s="51">
        <v>11447</v>
      </c>
      <c r="AL74" s="49">
        <v>13114</v>
      </c>
      <c r="AM74" s="50">
        <v>16127</v>
      </c>
      <c r="AN74" s="49">
        <v>15673</v>
      </c>
      <c r="AO74" s="49">
        <v>16715</v>
      </c>
      <c r="AP74" s="49">
        <v>17738</v>
      </c>
      <c r="AQ74" s="49">
        <v>18545</v>
      </c>
      <c r="AR74" s="49">
        <v>18940</v>
      </c>
      <c r="AS74" s="51">
        <v>14682</v>
      </c>
      <c r="AT74" s="50">
        <v>15163</v>
      </c>
      <c r="AU74" s="50">
        <v>17431</v>
      </c>
      <c r="AV74" s="49">
        <v>16821</v>
      </c>
      <c r="AW74" s="49">
        <v>17888</v>
      </c>
      <c r="AX74" s="49">
        <v>18920</v>
      </c>
      <c r="AY74" s="49">
        <v>21658</v>
      </c>
      <c r="AZ74" s="49">
        <v>22642</v>
      </c>
      <c r="BA74" s="49">
        <v>25597</v>
      </c>
      <c r="BB74" s="49">
        <v>27898</v>
      </c>
      <c r="BC74" s="49">
        <v>31344</v>
      </c>
      <c r="BD74" s="49">
        <v>35942</v>
      </c>
      <c r="BE74" s="49">
        <v>38389</v>
      </c>
      <c r="BF74" s="49">
        <v>40255</v>
      </c>
      <c r="BG74" s="49">
        <v>49984</v>
      </c>
      <c r="BH74" s="49">
        <v>47732</v>
      </c>
      <c r="BI74" s="50">
        <v>45357.032779999994</v>
      </c>
      <c r="BJ74" s="49">
        <v>48876.976203999999</v>
      </c>
      <c r="BK74" s="49">
        <v>46713</v>
      </c>
      <c r="BL74" s="49">
        <v>48124</v>
      </c>
      <c r="BM74" s="49">
        <v>55186</v>
      </c>
      <c r="BN74" s="49">
        <v>58923</v>
      </c>
      <c r="BO74" s="49">
        <v>67662.197018999999</v>
      </c>
      <c r="BP74" s="51">
        <v>73742.143060999995</v>
      </c>
      <c r="BQ74" s="49">
        <v>76753</v>
      </c>
      <c r="BR74" s="51">
        <v>80236.739243999997</v>
      </c>
      <c r="BS74" s="49">
        <v>82393</v>
      </c>
      <c r="BT74" s="49">
        <v>88478</v>
      </c>
      <c r="BU74" s="49">
        <v>95380.714547999989</v>
      </c>
      <c r="BV74" s="49">
        <v>81121.373778999987</v>
      </c>
      <c r="BW74" s="50">
        <v>94196.713929999984</v>
      </c>
      <c r="BX74" s="50">
        <v>101857.28206599999</v>
      </c>
      <c r="BY74" s="50">
        <v>109310.39907099999</v>
      </c>
      <c r="BZ74" s="49">
        <v>119927.02235</v>
      </c>
      <c r="CA74" s="49">
        <v>93276.566026999993</v>
      </c>
      <c r="CB74" s="49">
        <v>114094.29926</v>
      </c>
      <c r="CC74" s="394">
        <v>133675.13215399999</v>
      </c>
      <c r="CD74" s="394">
        <v>150886.791619</v>
      </c>
      <c r="CE74" s="453">
        <v>176956.04602899999</v>
      </c>
      <c r="CF74" s="465"/>
    </row>
    <row r="75" spans="1:257" x14ac:dyDescent="0.2">
      <c r="A75" s="47" t="s">
        <v>90</v>
      </c>
      <c r="B75" s="48">
        <v>139.5</v>
      </c>
      <c r="C75" s="49">
        <v>121.4</v>
      </c>
      <c r="D75" s="49">
        <v>181.5</v>
      </c>
      <c r="E75" s="49">
        <v>1191.0999999999999</v>
      </c>
      <c r="F75" s="49">
        <v>1227</v>
      </c>
      <c r="G75" s="49">
        <v>1101.9000000000001</v>
      </c>
      <c r="H75" s="49">
        <v>1038.9000000000001</v>
      </c>
      <c r="I75" s="49">
        <v>903</v>
      </c>
      <c r="J75" s="49">
        <v>1031.2</v>
      </c>
      <c r="K75" s="49">
        <v>1066.7</v>
      </c>
      <c r="L75" s="49">
        <v>1207.5</v>
      </c>
      <c r="M75" s="49">
        <v>1277</v>
      </c>
      <c r="N75" s="49">
        <v>1465.4</v>
      </c>
      <c r="O75" s="49">
        <v>1655.2</v>
      </c>
      <c r="P75" s="49">
        <v>1681.4</v>
      </c>
      <c r="Q75" s="49">
        <v>1828</v>
      </c>
      <c r="R75" s="49">
        <v>1765.9</v>
      </c>
      <c r="S75" s="49">
        <v>1930.1</v>
      </c>
      <c r="T75" s="49">
        <v>2831.6</v>
      </c>
      <c r="U75" s="49">
        <v>3134.1</v>
      </c>
      <c r="V75" s="49">
        <v>3526.5</v>
      </c>
      <c r="W75" s="49">
        <v>4122.6000000000004</v>
      </c>
      <c r="X75" s="49">
        <v>5240.8999999999996</v>
      </c>
      <c r="Y75" s="49">
        <v>5034.2</v>
      </c>
      <c r="Z75" s="49">
        <v>5280.7</v>
      </c>
      <c r="AA75" s="49">
        <v>5953.1</v>
      </c>
      <c r="AB75" s="49">
        <v>6749.8</v>
      </c>
      <c r="AC75" s="50">
        <v>6920</v>
      </c>
      <c r="AD75" s="50">
        <v>7078</v>
      </c>
      <c r="AE75" s="50">
        <v>7170</v>
      </c>
      <c r="AF75" s="50">
        <v>7532</v>
      </c>
      <c r="AG75" s="50">
        <v>7375</v>
      </c>
      <c r="AH75" s="50">
        <v>8009</v>
      </c>
      <c r="AI75" s="50">
        <v>7865</v>
      </c>
      <c r="AJ75" s="49">
        <v>8421</v>
      </c>
      <c r="AK75" s="51">
        <v>8671</v>
      </c>
      <c r="AL75" s="49">
        <v>9015</v>
      </c>
      <c r="AM75" s="50">
        <v>9294</v>
      </c>
      <c r="AN75" s="49">
        <v>9958</v>
      </c>
      <c r="AO75" s="49">
        <v>10750</v>
      </c>
      <c r="AP75" s="49">
        <v>11740</v>
      </c>
      <c r="AQ75" s="49">
        <v>10270</v>
      </c>
      <c r="AR75" s="49">
        <v>11760</v>
      </c>
      <c r="AS75" s="51">
        <v>13946</v>
      </c>
      <c r="AT75" s="50">
        <v>14685</v>
      </c>
      <c r="AU75" s="50">
        <v>13509</v>
      </c>
      <c r="AV75" s="49">
        <v>14633</v>
      </c>
      <c r="AW75" s="49">
        <v>15030</v>
      </c>
      <c r="AX75" s="49">
        <v>15228</v>
      </c>
      <c r="AY75" s="49">
        <v>14986</v>
      </c>
      <c r="AZ75" s="49">
        <v>16401</v>
      </c>
      <c r="BA75" s="49">
        <v>16953</v>
      </c>
      <c r="BB75" s="49">
        <v>17591</v>
      </c>
      <c r="BC75" s="49">
        <v>18133</v>
      </c>
      <c r="BD75" s="49">
        <v>19051</v>
      </c>
      <c r="BE75" s="49">
        <v>19065</v>
      </c>
      <c r="BF75" s="49">
        <v>22632.810791880001</v>
      </c>
      <c r="BG75" s="49">
        <v>26169</v>
      </c>
      <c r="BH75" s="49">
        <v>31539</v>
      </c>
      <c r="BI75" s="50">
        <v>31513.255786669979</v>
      </c>
      <c r="BJ75" s="49">
        <v>30283.407479290006</v>
      </c>
      <c r="BK75" s="49">
        <v>32489.582483159989</v>
      </c>
      <c r="BL75" s="49">
        <v>34911</v>
      </c>
      <c r="BM75" s="49">
        <v>34541</v>
      </c>
      <c r="BN75" s="49">
        <v>34950</v>
      </c>
      <c r="BO75" s="49">
        <v>35084.09974379999</v>
      </c>
      <c r="BP75" s="51">
        <v>40330.373031739982</v>
      </c>
      <c r="BQ75" s="49">
        <v>42500</v>
      </c>
      <c r="BR75" s="51">
        <v>43247.413639629958</v>
      </c>
      <c r="BS75" s="49">
        <v>44704</v>
      </c>
      <c r="BT75" s="49">
        <v>47604.987999999998</v>
      </c>
      <c r="BU75" s="49">
        <v>50592.387464569983</v>
      </c>
      <c r="BV75" s="49">
        <v>57893.447883410074</v>
      </c>
      <c r="BW75" s="50">
        <v>56929.451298390326</v>
      </c>
      <c r="BX75" s="50">
        <v>59995.36222803015</v>
      </c>
      <c r="BY75" s="50">
        <v>62280.125262910049</v>
      </c>
      <c r="BZ75" s="49">
        <v>62769.989410650131</v>
      </c>
      <c r="CA75" s="49">
        <v>84331.390904120068</v>
      </c>
      <c r="CB75" s="49">
        <v>79277.604898330057</v>
      </c>
      <c r="CC75" s="394">
        <v>76024.050487650326</v>
      </c>
      <c r="CD75" s="394">
        <v>77551.377652070019</v>
      </c>
      <c r="CE75" s="363">
        <v>81808.327006970037</v>
      </c>
    </row>
    <row r="76" spans="1:257" x14ac:dyDescent="0.2">
      <c r="A76" s="47" t="s">
        <v>113</v>
      </c>
      <c r="B76" s="48"/>
      <c r="C76" s="49" t="s">
        <v>53</v>
      </c>
      <c r="D76" s="49" t="s">
        <v>53</v>
      </c>
      <c r="E76" s="49" t="s">
        <v>53</v>
      </c>
      <c r="F76" s="49" t="s">
        <v>53</v>
      </c>
      <c r="G76" s="49" t="s">
        <v>53</v>
      </c>
      <c r="H76" s="49" t="s">
        <v>53</v>
      </c>
      <c r="I76" s="49" t="s">
        <v>53</v>
      </c>
      <c r="J76" s="49" t="s">
        <v>53</v>
      </c>
      <c r="K76" s="49" t="s">
        <v>53</v>
      </c>
      <c r="L76" s="49" t="s">
        <v>53</v>
      </c>
      <c r="M76" s="49" t="s">
        <v>53</v>
      </c>
      <c r="N76" s="49" t="s">
        <v>53</v>
      </c>
      <c r="O76" s="49" t="s">
        <v>53</v>
      </c>
      <c r="P76" s="49" t="s">
        <v>53</v>
      </c>
      <c r="Q76" s="49" t="s">
        <v>53</v>
      </c>
      <c r="R76" s="49" t="s">
        <v>53</v>
      </c>
      <c r="S76" s="49" t="s">
        <v>53</v>
      </c>
      <c r="T76" s="49" t="s">
        <v>53</v>
      </c>
      <c r="U76" s="49" t="s">
        <v>53</v>
      </c>
      <c r="V76" s="49" t="s">
        <v>53</v>
      </c>
      <c r="W76" s="49" t="s">
        <v>53</v>
      </c>
      <c r="X76" s="49" t="s">
        <v>53</v>
      </c>
      <c r="Y76" s="49" t="s">
        <v>53</v>
      </c>
      <c r="Z76" s="49" t="s">
        <v>53</v>
      </c>
      <c r="AA76" s="49" t="s">
        <v>53</v>
      </c>
      <c r="AB76" s="49" t="s">
        <v>53</v>
      </c>
      <c r="AC76" s="49" t="s">
        <v>53</v>
      </c>
      <c r="AD76" s="49" t="s">
        <v>53</v>
      </c>
      <c r="AE76" s="49" t="s">
        <v>53</v>
      </c>
      <c r="AF76" s="49" t="s">
        <v>53</v>
      </c>
      <c r="AG76" s="49" t="s">
        <v>53</v>
      </c>
      <c r="AH76" s="49" t="s">
        <v>53</v>
      </c>
      <c r="AI76" s="49" t="s">
        <v>53</v>
      </c>
      <c r="AJ76" s="49" t="s">
        <v>53</v>
      </c>
      <c r="AK76" s="49" t="s">
        <v>53</v>
      </c>
      <c r="AL76" s="49" t="s">
        <v>53</v>
      </c>
      <c r="AM76" s="49" t="s">
        <v>53</v>
      </c>
      <c r="AN76" s="49" t="s">
        <v>53</v>
      </c>
      <c r="AO76" s="49">
        <v>236</v>
      </c>
      <c r="AP76" s="49">
        <v>805</v>
      </c>
      <c r="AQ76" s="49">
        <v>613</v>
      </c>
      <c r="AR76" s="49">
        <v>1114</v>
      </c>
      <c r="AS76" s="51">
        <v>2203</v>
      </c>
      <c r="AT76" s="50">
        <v>3302</v>
      </c>
      <c r="AU76" s="50">
        <v>3119</v>
      </c>
      <c r="AV76" s="49">
        <v>3184</v>
      </c>
      <c r="AW76" s="49">
        <v>3601</v>
      </c>
      <c r="AX76" s="49">
        <v>4115</v>
      </c>
      <c r="AY76" s="49">
        <v>4466</v>
      </c>
      <c r="AZ76" s="49">
        <v>4876</v>
      </c>
      <c r="BA76" s="49">
        <v>4644.8</v>
      </c>
      <c r="BB76" s="49">
        <v>4693</v>
      </c>
      <c r="BC76" s="49">
        <v>5056</v>
      </c>
      <c r="BD76" s="49">
        <v>5356</v>
      </c>
      <c r="BE76" s="49">
        <v>5667</v>
      </c>
      <c r="BF76" s="49">
        <v>6700</v>
      </c>
      <c r="BG76" s="49">
        <v>7070</v>
      </c>
      <c r="BH76" s="49">
        <v>7391</v>
      </c>
      <c r="BI76" s="50">
        <v>7334.4539916699741</v>
      </c>
      <c r="BJ76" s="49">
        <v>7451.7904792900026</v>
      </c>
      <c r="BK76" s="49">
        <v>7974</v>
      </c>
      <c r="BL76" s="49">
        <v>8446</v>
      </c>
      <c r="BM76" s="49">
        <v>8501</v>
      </c>
      <c r="BN76" s="49">
        <v>8575</v>
      </c>
      <c r="BO76" s="49">
        <v>8458.9787302699933</v>
      </c>
      <c r="BP76" s="51">
        <v>10258.764139789982</v>
      </c>
      <c r="BQ76" s="49">
        <v>11447</v>
      </c>
      <c r="BR76" s="51">
        <v>12096.771246049961</v>
      </c>
      <c r="BS76" s="49">
        <v>12563</v>
      </c>
      <c r="BT76" s="49">
        <v>13580</v>
      </c>
      <c r="BU76" s="49">
        <v>14881.374298569979</v>
      </c>
      <c r="BV76" s="49">
        <v>19001.165883410074</v>
      </c>
      <c r="BW76" s="50">
        <v>20216.503893430327</v>
      </c>
      <c r="BX76" s="50">
        <v>20848.777289670146</v>
      </c>
      <c r="BY76" s="50">
        <v>22008.14054840005</v>
      </c>
      <c r="BZ76" s="49">
        <v>22549.923947650135</v>
      </c>
      <c r="CA76" s="49">
        <v>24005.040408470075</v>
      </c>
      <c r="CB76" s="49">
        <v>25511.304277360057</v>
      </c>
      <c r="CC76" s="394">
        <v>25705.566967050319</v>
      </c>
      <c r="CD76" s="394">
        <v>27734.519769890019</v>
      </c>
      <c r="CE76" s="363">
        <v>28977.297014400043</v>
      </c>
    </row>
    <row r="77" spans="1:257" x14ac:dyDescent="0.2">
      <c r="A77" s="47" t="s">
        <v>114</v>
      </c>
      <c r="B77" s="48"/>
      <c r="C77" s="49" t="s">
        <v>53</v>
      </c>
      <c r="D77" s="49" t="s">
        <v>53</v>
      </c>
      <c r="E77" s="49">
        <v>549</v>
      </c>
      <c r="F77" s="49">
        <v>666</v>
      </c>
      <c r="G77" s="49">
        <v>596</v>
      </c>
      <c r="H77" s="49">
        <v>502</v>
      </c>
      <c r="I77" s="49">
        <v>328</v>
      </c>
      <c r="J77" s="49">
        <v>344</v>
      </c>
      <c r="K77" s="49">
        <v>334</v>
      </c>
      <c r="L77" s="49">
        <v>341</v>
      </c>
      <c r="M77" s="49">
        <v>354</v>
      </c>
      <c r="N77" s="49">
        <v>358</v>
      </c>
      <c r="O77" s="49">
        <v>392</v>
      </c>
      <c r="P77" s="49">
        <v>381</v>
      </c>
      <c r="Q77" s="49">
        <v>396</v>
      </c>
      <c r="R77" s="49">
        <v>408</v>
      </c>
      <c r="S77" s="49">
        <v>389</v>
      </c>
      <c r="T77" s="49">
        <v>604</v>
      </c>
      <c r="U77" s="49">
        <v>623</v>
      </c>
      <c r="V77" s="49">
        <v>1239</v>
      </c>
      <c r="W77" s="49">
        <v>622</v>
      </c>
      <c r="X77" s="49">
        <v>676</v>
      </c>
      <c r="Y77" s="49">
        <v>679</v>
      </c>
      <c r="Z77" s="49">
        <v>735</v>
      </c>
      <c r="AA77" s="49">
        <v>714</v>
      </c>
      <c r="AB77" s="49">
        <v>761</v>
      </c>
      <c r="AC77" s="50">
        <v>756</v>
      </c>
      <c r="AD77" s="50">
        <v>708</v>
      </c>
      <c r="AE77" s="50">
        <v>698</v>
      </c>
      <c r="AF77" s="50">
        <v>687</v>
      </c>
      <c r="AG77" s="50">
        <v>637</v>
      </c>
      <c r="AH77" s="50">
        <v>645</v>
      </c>
      <c r="AI77" s="50">
        <v>609</v>
      </c>
      <c r="AJ77" s="49">
        <v>690</v>
      </c>
      <c r="AK77" s="51">
        <v>681</v>
      </c>
      <c r="AL77" s="49">
        <v>747</v>
      </c>
      <c r="AM77" s="50">
        <v>712</v>
      </c>
      <c r="AN77" s="49">
        <v>743</v>
      </c>
      <c r="AO77" s="49">
        <v>791</v>
      </c>
      <c r="AP77" s="49">
        <v>776</v>
      </c>
      <c r="AQ77" s="49">
        <v>678</v>
      </c>
      <c r="AR77" s="49">
        <v>757</v>
      </c>
      <c r="AS77" s="51">
        <v>775</v>
      </c>
      <c r="AT77" s="50">
        <v>823</v>
      </c>
      <c r="AU77" s="50">
        <v>929</v>
      </c>
      <c r="AV77" s="49">
        <v>800</v>
      </c>
      <c r="AW77" s="49">
        <v>792</v>
      </c>
      <c r="AX77" s="49">
        <v>847</v>
      </c>
      <c r="AY77" s="49">
        <v>790</v>
      </c>
      <c r="AZ77" s="49">
        <v>822</v>
      </c>
      <c r="BA77" s="49">
        <v>783</v>
      </c>
      <c r="BB77" s="49">
        <v>813</v>
      </c>
      <c r="BC77" s="49">
        <v>801</v>
      </c>
      <c r="BD77" s="49">
        <v>844</v>
      </c>
      <c r="BE77" s="49">
        <v>821</v>
      </c>
      <c r="BF77" s="49">
        <v>895</v>
      </c>
      <c r="BG77" s="49">
        <v>987</v>
      </c>
      <c r="BH77" s="49">
        <v>1416</v>
      </c>
      <c r="BI77" s="50">
        <v>1149</v>
      </c>
      <c r="BJ77" s="49">
        <v>1086</v>
      </c>
      <c r="BK77" s="49">
        <v>1133</v>
      </c>
      <c r="BL77" s="49">
        <v>1182</v>
      </c>
      <c r="BM77" s="49">
        <v>1163</v>
      </c>
      <c r="BN77" s="49">
        <v>1143</v>
      </c>
      <c r="BO77" s="49">
        <v>1146</v>
      </c>
      <c r="BP77" s="51">
        <v>1112</v>
      </c>
      <c r="BQ77" s="49">
        <v>1147</v>
      </c>
      <c r="BR77" s="51">
        <v>1199</v>
      </c>
      <c r="BS77" s="49">
        <v>1128</v>
      </c>
      <c r="BT77" s="49">
        <v>1206</v>
      </c>
      <c r="BU77" s="49">
        <v>1328</v>
      </c>
      <c r="BV77" s="49">
        <v>1575.2389713</v>
      </c>
      <c r="BW77" s="50">
        <v>1568.6252608100001</v>
      </c>
      <c r="BX77" s="50">
        <v>1542.0520340600001</v>
      </c>
      <c r="BY77" s="50">
        <v>1369.04894878</v>
      </c>
      <c r="BZ77" s="49">
        <v>1420.53458574</v>
      </c>
      <c r="CA77" s="49">
        <v>1879.7898118400001</v>
      </c>
      <c r="CB77" s="49">
        <v>2096.8228340000001</v>
      </c>
      <c r="CC77" s="394">
        <v>1521.4818174500001</v>
      </c>
      <c r="CD77" s="394">
        <v>1630.0249868400001</v>
      </c>
      <c r="CE77" s="363">
        <v>1578.6224395900001</v>
      </c>
      <c r="CF77" s="434"/>
      <c r="CI77" s="433"/>
      <c r="CJ77" s="433"/>
    </row>
    <row r="78" spans="1:257" s="31" customFormat="1" ht="15" x14ac:dyDescent="0.2">
      <c r="A78" s="54" t="s">
        <v>203</v>
      </c>
      <c r="B78" s="57">
        <f>SUM(B73:B75)</f>
        <v>7000</v>
      </c>
      <c r="C78" s="58">
        <v>5843.8</v>
      </c>
      <c r="D78" s="58">
        <v>5843.5</v>
      </c>
      <c r="E78" s="58">
        <v>8962</v>
      </c>
      <c r="F78" s="58">
        <v>8586.4</v>
      </c>
      <c r="G78" s="58">
        <v>8959.2000000000007</v>
      </c>
      <c r="H78" s="58">
        <v>6795.7000000000007</v>
      </c>
      <c r="I78" s="58">
        <v>5400.6</v>
      </c>
      <c r="J78" s="58">
        <v>6765.9</v>
      </c>
      <c r="K78" s="58">
        <v>6528.1</v>
      </c>
      <c r="L78" s="58">
        <v>7946.9</v>
      </c>
      <c r="M78" s="58">
        <v>9461.5</v>
      </c>
      <c r="N78" s="58">
        <v>11505.2</v>
      </c>
      <c r="O78" s="58">
        <v>14575.1</v>
      </c>
      <c r="P78" s="58">
        <v>15208.6</v>
      </c>
      <c r="Q78" s="58">
        <v>15387.5</v>
      </c>
      <c r="R78" s="58">
        <v>17302</v>
      </c>
      <c r="S78" s="58">
        <v>20188.099999999999</v>
      </c>
      <c r="T78" s="58">
        <v>23074.6</v>
      </c>
      <c r="U78" s="58">
        <v>27391.1</v>
      </c>
      <c r="V78" s="58">
        <v>31869.5</v>
      </c>
      <c r="W78" s="58">
        <v>38775.599999999999</v>
      </c>
      <c r="X78" s="58">
        <v>36796.9</v>
      </c>
      <c r="Y78" s="58">
        <v>39179.199999999997</v>
      </c>
      <c r="Z78" s="58">
        <v>45524.7</v>
      </c>
      <c r="AA78" s="58">
        <v>48825.1</v>
      </c>
      <c r="AB78" s="58">
        <v>51890.8</v>
      </c>
      <c r="AC78" s="58">
        <v>51685</v>
      </c>
      <c r="AD78" s="58">
        <v>48188</v>
      </c>
      <c r="AE78" s="58">
        <v>46901</v>
      </c>
      <c r="AF78" s="58">
        <v>46041</v>
      </c>
      <c r="AG78" s="58">
        <v>40543</v>
      </c>
      <c r="AH78" s="58">
        <v>35902.101999999999</v>
      </c>
      <c r="AI78" s="58">
        <v>39067</v>
      </c>
      <c r="AJ78" s="56">
        <v>49140</v>
      </c>
      <c r="AK78" s="57">
        <v>57816</v>
      </c>
      <c r="AL78" s="56">
        <v>64423</v>
      </c>
      <c r="AM78" s="58">
        <v>74731</v>
      </c>
      <c r="AN78" s="56">
        <v>72884</v>
      </c>
      <c r="AO78" s="56">
        <v>78499</v>
      </c>
      <c r="AP78" s="56">
        <v>85889</v>
      </c>
      <c r="AQ78" s="56">
        <v>90773</v>
      </c>
      <c r="AR78" s="56">
        <v>88256</v>
      </c>
      <c r="AS78" s="57">
        <v>73158</v>
      </c>
      <c r="AT78" s="58">
        <v>76782</v>
      </c>
      <c r="AU78" s="58">
        <v>85296</v>
      </c>
      <c r="AV78" s="56">
        <v>81443</v>
      </c>
      <c r="AW78" s="56">
        <v>84963</v>
      </c>
      <c r="AX78" s="56">
        <v>88669</v>
      </c>
      <c r="AY78" s="56">
        <v>96453</v>
      </c>
      <c r="AZ78" s="56">
        <v>97515</v>
      </c>
      <c r="BA78" s="56">
        <v>108176</v>
      </c>
      <c r="BB78" s="56">
        <v>115841</v>
      </c>
      <c r="BC78" s="56">
        <v>125917</v>
      </c>
      <c r="BD78" s="56">
        <v>134617</v>
      </c>
      <c r="BE78" s="56">
        <v>138317</v>
      </c>
      <c r="BF78" s="56">
        <v>147275.72024297999</v>
      </c>
      <c r="BG78" s="56">
        <v>174045</v>
      </c>
      <c r="BH78" s="56">
        <v>175790</v>
      </c>
      <c r="BI78" s="58">
        <v>176610.95594827185</v>
      </c>
      <c r="BJ78" s="56">
        <v>198189.19435889157</v>
      </c>
      <c r="BK78" s="56">
        <v>195626.59128540999</v>
      </c>
      <c r="BL78" s="56">
        <v>205859</v>
      </c>
      <c r="BM78" s="56">
        <v>230428</v>
      </c>
      <c r="BN78" s="56">
        <v>239145</v>
      </c>
      <c r="BO78" s="56">
        <v>255051.23207205729</v>
      </c>
      <c r="BP78" s="57">
        <v>270348.84012390586</v>
      </c>
      <c r="BQ78" s="56">
        <v>280977.88705384952</v>
      </c>
      <c r="BR78" s="57">
        <v>282931.00508217217</v>
      </c>
      <c r="BS78" s="56">
        <v>288721</v>
      </c>
      <c r="BT78" s="56">
        <v>307143</v>
      </c>
      <c r="BU78" s="56">
        <v>330982.86302423908</v>
      </c>
      <c r="BV78" s="56">
        <v>299979.30384141317</v>
      </c>
      <c r="BW78" s="58">
        <v>335667.60550227895</v>
      </c>
      <c r="BX78" s="58">
        <v>359286.1421631907</v>
      </c>
      <c r="BY78" s="58">
        <v>377084.43898997724</v>
      </c>
      <c r="BZ78" s="56">
        <v>407718.72347228078</v>
      </c>
      <c r="CA78" s="56">
        <v>368164.76603410451</v>
      </c>
      <c r="CB78" s="56">
        <v>444579.80254750518</v>
      </c>
      <c r="CC78" s="395">
        <v>514192.29241720156</v>
      </c>
      <c r="CD78" s="395">
        <v>570509.14320701535</v>
      </c>
      <c r="CE78" s="454">
        <v>653944.62539048051</v>
      </c>
      <c r="CF78" s="431"/>
      <c r="CG78" s="431"/>
      <c r="CH78" s="431"/>
      <c r="CI78" s="431"/>
      <c r="CJ78" s="431"/>
    </row>
    <row r="79" spans="1:257" x14ac:dyDescent="0.2">
      <c r="A79" s="47" t="s">
        <v>143</v>
      </c>
      <c r="B79" s="51"/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8</v>
      </c>
      <c r="I79" s="49">
        <v>10</v>
      </c>
      <c r="J79" s="49">
        <v>21</v>
      </c>
      <c r="K79" s="49">
        <v>18</v>
      </c>
      <c r="L79" s="49">
        <v>24</v>
      </c>
      <c r="M79" s="49">
        <v>36</v>
      </c>
      <c r="N79" s="49">
        <v>103</v>
      </c>
      <c r="O79" s="49">
        <v>173</v>
      </c>
      <c r="P79" s="49">
        <v>218</v>
      </c>
      <c r="Q79" s="49">
        <v>249</v>
      </c>
      <c r="R79" s="49">
        <v>330</v>
      </c>
      <c r="S79" s="49">
        <v>571</v>
      </c>
      <c r="T79" s="49">
        <v>773</v>
      </c>
      <c r="U79" s="49">
        <v>1199</v>
      </c>
      <c r="V79" s="49">
        <v>2470</v>
      </c>
      <c r="W79" s="49">
        <v>3280</v>
      </c>
      <c r="X79" s="49">
        <v>3430</v>
      </c>
      <c r="Y79" s="49">
        <v>3770</v>
      </c>
      <c r="Z79" s="49">
        <v>4800</v>
      </c>
      <c r="AA79" s="49">
        <v>4926.3209999999999</v>
      </c>
      <c r="AB79" s="49">
        <v>6580.4815224399972</v>
      </c>
      <c r="AC79" s="50">
        <v>8280.846888</v>
      </c>
      <c r="AD79" s="50">
        <v>8404.6919999999991</v>
      </c>
      <c r="AE79" s="50">
        <v>10404.674000000001</v>
      </c>
      <c r="AF79" s="50">
        <v>11157.696</v>
      </c>
      <c r="AG79" s="50">
        <v>10394.128999999999</v>
      </c>
      <c r="AH79" s="50">
        <v>8414.2470000000012</v>
      </c>
      <c r="AI79" s="50">
        <v>10940.837</v>
      </c>
      <c r="AJ79" s="49">
        <v>15407.123999999998</v>
      </c>
      <c r="AK79" s="51">
        <v>19185.3</v>
      </c>
      <c r="AL79" s="49">
        <v>20093.672000000002</v>
      </c>
      <c r="AM79" s="50">
        <v>28201.873</v>
      </c>
      <c r="AN79" s="49">
        <v>28536.245999999992</v>
      </c>
      <c r="AO79" s="49">
        <v>31229.4</v>
      </c>
      <c r="AP79" s="49">
        <v>30919.100000000002</v>
      </c>
      <c r="AQ79" s="49">
        <v>37272.899999999994</v>
      </c>
      <c r="AR79" s="49">
        <v>36494.646000000001</v>
      </c>
      <c r="AS79" s="51">
        <v>29748.430999999997</v>
      </c>
      <c r="AT79" s="50">
        <v>29750.070000000003</v>
      </c>
      <c r="AU79" s="50">
        <v>34230.600000000013</v>
      </c>
      <c r="AV79" s="49">
        <v>33054.710000000006</v>
      </c>
      <c r="AW79" s="49">
        <v>34682.870000000003</v>
      </c>
      <c r="AX79" s="49">
        <v>34452.1</v>
      </c>
      <c r="AY79" s="49">
        <v>37606.924034219941</v>
      </c>
      <c r="AZ79" s="49">
        <v>37860.333052969909</v>
      </c>
      <c r="BA79" s="49">
        <v>42274.582444679902</v>
      </c>
      <c r="BB79" s="49">
        <v>44520.521440119905</v>
      </c>
      <c r="BC79" s="49">
        <v>47847.205316649641</v>
      </c>
      <c r="BD79" s="49">
        <v>51278.138187769626</v>
      </c>
      <c r="BE79" s="49">
        <v>52196.25656497926</v>
      </c>
      <c r="BF79" s="49">
        <v>54325.300347560158</v>
      </c>
      <c r="BG79" s="49">
        <v>63647.364298070432</v>
      </c>
      <c r="BH79" s="49">
        <v>64114.003630630294</v>
      </c>
      <c r="BI79" s="50">
        <v>63852.802945700714</v>
      </c>
      <c r="BJ79" s="49">
        <v>70609.049051020484</v>
      </c>
      <c r="BK79" s="49">
        <v>69290.824142300276</v>
      </c>
      <c r="BL79" s="49">
        <v>70628.908019281429</v>
      </c>
      <c r="BM79" s="49">
        <v>78837.409949560548</v>
      </c>
      <c r="BN79" s="49">
        <v>80251.15395863133</v>
      </c>
      <c r="BO79" s="49">
        <v>84974.009759011009</v>
      </c>
      <c r="BP79" s="51">
        <v>88684.609251142334</v>
      </c>
      <c r="BQ79" s="49">
        <v>91125.681221131657</v>
      </c>
      <c r="BR79" s="51">
        <v>90758.166599041899</v>
      </c>
      <c r="BS79" s="49">
        <v>91976</v>
      </c>
      <c r="BT79" s="49">
        <v>97102</v>
      </c>
      <c r="BU79" s="49">
        <v>103439.98302124019</v>
      </c>
      <c r="BV79" s="49">
        <v>90954.281879511385</v>
      </c>
      <c r="BW79" s="50">
        <v>102536.93155525356</v>
      </c>
      <c r="BX79" s="50">
        <v>109684.06065480295</v>
      </c>
      <c r="BY79" s="50">
        <v>114313.34140686077</v>
      </c>
      <c r="BZ79" s="49">
        <v>122142.64216760268</v>
      </c>
      <c r="CA79" s="49">
        <v>108056.81656056448</v>
      </c>
      <c r="CB79" s="49">
        <v>129207.02479929297</v>
      </c>
      <c r="CC79" s="394">
        <v>148464.28407247079</v>
      </c>
      <c r="CD79" s="394">
        <v>162637.90197180252</v>
      </c>
      <c r="CE79" s="453">
        <v>186278.9634700343</v>
      </c>
    </row>
    <row r="80" spans="1:257" s="111" customFormat="1" x14ac:dyDescent="0.2">
      <c r="A80" s="112" t="s">
        <v>169</v>
      </c>
      <c r="B80" s="7"/>
      <c r="C80" s="114" t="s">
        <v>53</v>
      </c>
      <c r="D80" s="114" t="s">
        <v>53</v>
      </c>
      <c r="E80" s="114" t="s">
        <v>53</v>
      </c>
      <c r="F80" s="114" t="s">
        <v>53</v>
      </c>
      <c r="G80" s="114" t="s">
        <v>53</v>
      </c>
      <c r="H80" s="114" t="s">
        <v>53</v>
      </c>
      <c r="I80" s="114" t="s">
        <v>53</v>
      </c>
      <c r="J80" s="114" t="s">
        <v>53</v>
      </c>
      <c r="K80" s="114" t="s">
        <v>53</v>
      </c>
      <c r="L80" s="114" t="s">
        <v>53</v>
      </c>
      <c r="M80" s="114" t="s">
        <v>53</v>
      </c>
      <c r="N80" s="114" t="s">
        <v>53</v>
      </c>
      <c r="O80" s="114" t="s">
        <v>53</v>
      </c>
      <c r="P80" s="114" t="s">
        <v>53</v>
      </c>
      <c r="Q80" s="114" t="s">
        <v>53</v>
      </c>
      <c r="R80" s="114" t="s">
        <v>53</v>
      </c>
      <c r="S80" s="114" t="s">
        <v>53</v>
      </c>
      <c r="T80" s="114" t="s">
        <v>53</v>
      </c>
      <c r="U80" s="114" t="s">
        <v>53</v>
      </c>
      <c r="V80" s="114" t="s">
        <v>53</v>
      </c>
      <c r="W80" s="114" t="s">
        <v>53</v>
      </c>
      <c r="X80" s="114" t="s">
        <v>53</v>
      </c>
      <c r="Y80" s="114" t="s">
        <v>53</v>
      </c>
      <c r="Z80" s="114" t="s">
        <v>53</v>
      </c>
      <c r="AA80" s="114">
        <v>72.665999999999997</v>
      </c>
      <c r="AB80" s="114">
        <v>96.496818320000159</v>
      </c>
      <c r="AC80" s="115">
        <v>111.47804499999999</v>
      </c>
      <c r="AD80" s="115">
        <v>138.80000000000001</v>
      </c>
      <c r="AE80" s="115">
        <v>150.5</v>
      </c>
      <c r="AF80" s="115">
        <v>174.357</v>
      </c>
      <c r="AG80" s="115">
        <v>196.542</v>
      </c>
      <c r="AH80" s="115">
        <v>280.505</v>
      </c>
      <c r="AI80" s="115">
        <v>339.29199999999997</v>
      </c>
      <c r="AJ80" s="114">
        <v>438.03699999999998</v>
      </c>
      <c r="AK80" s="116">
        <v>523.29999999999995</v>
      </c>
      <c r="AL80" s="114">
        <v>633</v>
      </c>
      <c r="AM80" s="115">
        <v>753.81299999999999</v>
      </c>
      <c r="AN80" s="114">
        <v>827.995</v>
      </c>
      <c r="AO80" s="114">
        <v>953.3</v>
      </c>
      <c r="AP80" s="114">
        <v>1114.5999999999999</v>
      </c>
      <c r="AQ80" s="114">
        <v>1215.5</v>
      </c>
      <c r="AR80" s="114">
        <v>1312.931</v>
      </c>
      <c r="AS80" s="116">
        <v>1287.3</v>
      </c>
      <c r="AT80" s="115">
        <v>1466</v>
      </c>
      <c r="AU80" s="115">
        <v>1729.2</v>
      </c>
      <c r="AV80" s="114">
        <v>1868.2</v>
      </c>
      <c r="AW80" s="114">
        <v>2123.9699999999998</v>
      </c>
      <c r="AX80" s="114">
        <v>2397.6</v>
      </c>
      <c r="AY80" s="114">
        <v>2739.6854282599852</v>
      </c>
      <c r="AZ80" s="114">
        <v>3006.7777126399751</v>
      </c>
      <c r="BA80" s="114">
        <v>3434.1442113199582</v>
      </c>
      <c r="BB80" s="114">
        <v>3891.0845771999493</v>
      </c>
      <c r="BC80" s="114">
        <v>4311.0854654801633</v>
      </c>
      <c r="BD80" s="114">
        <v>4904.9153520201307</v>
      </c>
      <c r="BE80" s="114">
        <v>5302.3864101704548</v>
      </c>
      <c r="BF80" s="114">
        <v>5930.8440884998363</v>
      </c>
      <c r="BG80" s="114">
        <v>6997.8010957399783</v>
      </c>
      <c r="BH80" s="114">
        <v>7319.3303543604252</v>
      </c>
      <c r="BI80" s="115">
        <v>7439.6104902804254</v>
      </c>
      <c r="BJ80" s="114">
        <v>8519.5853409607989</v>
      </c>
      <c r="BK80" s="114">
        <v>8837.6605911306178</v>
      </c>
      <c r="BL80" s="114">
        <v>9608.9667541313247</v>
      </c>
      <c r="BM80" s="114">
        <v>10955.424482491146</v>
      </c>
      <c r="BN80" s="114">
        <v>12068.468147511594</v>
      </c>
      <c r="BO80" s="114">
        <v>13301.296280352301</v>
      </c>
      <c r="BP80" s="116">
        <v>14256.603925623283</v>
      </c>
      <c r="BQ80" s="114">
        <v>15066.664870043347</v>
      </c>
      <c r="BR80" s="116">
        <v>16113.825238342812</v>
      </c>
      <c r="BS80" s="114">
        <v>16794.008954713296</v>
      </c>
      <c r="BT80" s="114">
        <v>18360.434954561486</v>
      </c>
      <c r="BU80" s="114">
        <v>19755.286175622045</v>
      </c>
      <c r="BV80" s="114">
        <v>18596.100691792868</v>
      </c>
      <c r="BW80" s="115">
        <v>21290.507663364871</v>
      </c>
      <c r="BX80" s="115">
        <v>22993.108408202639</v>
      </c>
      <c r="BY80" s="115">
        <v>24568.098360191914</v>
      </c>
      <c r="BZ80" s="114">
        <v>26725.620428963008</v>
      </c>
      <c r="CA80" s="114">
        <v>24139.511351494904</v>
      </c>
      <c r="CB80" s="114">
        <v>27938.10754980339</v>
      </c>
      <c r="CC80" s="409">
        <v>31284.024192082808</v>
      </c>
      <c r="CD80" s="409">
        <v>34153.41361508242</v>
      </c>
      <c r="CE80" s="455">
        <v>38381.304905814541</v>
      </c>
      <c r="CF80" s="356"/>
      <c r="CG80"/>
      <c r="CH80"/>
      <c r="CI80" s="312"/>
      <c r="CJ80" s="312"/>
      <c r="CK80" s="312"/>
      <c r="CL80" s="312"/>
      <c r="CM80" s="312"/>
      <c r="CN80" s="312"/>
      <c r="CO80" s="312"/>
      <c r="CP80" s="312"/>
    </row>
    <row r="81" spans="1:96" x14ac:dyDescent="0.2">
      <c r="A81" s="11"/>
      <c r="B81" s="11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3"/>
      <c r="AD81" s="33"/>
      <c r="AE81" s="33"/>
      <c r="AF81" s="33"/>
      <c r="AG81" s="33"/>
      <c r="AH81" s="33"/>
      <c r="AI81" s="33"/>
      <c r="AJ81" s="32"/>
      <c r="AK81" s="7"/>
      <c r="AL81" s="32"/>
      <c r="AM81" s="33"/>
      <c r="AN81" s="32"/>
      <c r="AO81" s="32"/>
      <c r="AP81" s="32"/>
      <c r="AQ81" s="32"/>
      <c r="AR81" s="32"/>
      <c r="AS81" s="7"/>
      <c r="AT81" s="33"/>
      <c r="AU81" s="33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3"/>
      <c r="BJ81" s="32"/>
      <c r="BK81" s="32"/>
      <c r="BL81" s="32"/>
      <c r="BM81" s="32"/>
      <c r="BN81" s="32"/>
      <c r="BO81" s="32"/>
      <c r="BP81" s="7"/>
      <c r="BQ81" s="32"/>
      <c r="BR81" s="32"/>
      <c r="BS81" s="32"/>
      <c r="BT81" s="32"/>
      <c r="BU81" s="32"/>
      <c r="BV81" s="32"/>
      <c r="BW81" s="33"/>
      <c r="BX81" s="33"/>
      <c r="BY81" s="33"/>
      <c r="BZ81" s="32"/>
      <c r="CA81" s="32"/>
      <c r="CB81" s="32"/>
      <c r="CC81" s="392"/>
      <c r="CD81" s="392"/>
      <c r="CE81" s="361"/>
    </row>
    <row r="82" spans="1:96" x14ac:dyDescent="0.2">
      <c r="A82" s="304" t="s">
        <v>159</v>
      </c>
      <c r="B82" s="111"/>
      <c r="C82" s="7"/>
      <c r="D82" s="32"/>
      <c r="E82" s="32"/>
      <c r="F82" s="7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7"/>
      <c r="AD82" s="33"/>
      <c r="AE82" s="33"/>
      <c r="AF82" s="33"/>
      <c r="AG82" s="33"/>
      <c r="AH82" s="33"/>
      <c r="AI82" s="33"/>
      <c r="AJ82" s="32"/>
      <c r="AK82" s="7"/>
      <c r="AL82" s="32"/>
      <c r="AM82" s="33"/>
      <c r="AN82" s="32"/>
      <c r="AO82" s="32"/>
      <c r="AP82" s="32"/>
      <c r="AQ82" s="32"/>
      <c r="AR82" s="32"/>
      <c r="AS82" s="7"/>
      <c r="AT82" s="33"/>
      <c r="AU82" s="33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7"/>
      <c r="BJ82" s="32"/>
      <c r="BK82" s="32"/>
      <c r="BL82" s="32"/>
      <c r="BM82" s="32"/>
      <c r="BN82" s="32"/>
      <c r="BO82" s="32"/>
      <c r="BP82" s="7"/>
      <c r="BQ82" s="32"/>
      <c r="BR82" s="7"/>
      <c r="BS82" s="32"/>
      <c r="BT82" s="32"/>
      <c r="BU82" s="32"/>
      <c r="BV82" s="32"/>
      <c r="BW82" s="33"/>
      <c r="BX82" s="33"/>
      <c r="BY82" s="33"/>
      <c r="BZ82" s="32"/>
      <c r="CA82" s="32"/>
      <c r="CB82" s="32"/>
      <c r="CC82" s="392"/>
      <c r="CD82" s="392"/>
      <c r="CE82" s="361"/>
    </row>
    <row r="83" spans="1:96" x14ac:dyDescent="0.2">
      <c r="A83" s="39" t="s">
        <v>167</v>
      </c>
      <c r="B83" s="258"/>
      <c r="C83" s="43" t="s">
        <v>53</v>
      </c>
      <c r="D83" s="41" t="s">
        <v>53</v>
      </c>
      <c r="E83" s="41" t="s">
        <v>53</v>
      </c>
      <c r="F83" s="43" t="s">
        <v>53</v>
      </c>
      <c r="G83" s="41" t="s">
        <v>53</v>
      </c>
      <c r="H83" s="41" t="s">
        <v>53</v>
      </c>
      <c r="I83" s="41" t="s">
        <v>53</v>
      </c>
      <c r="J83" s="41" t="s">
        <v>53</v>
      </c>
      <c r="K83" s="41" t="s">
        <v>53</v>
      </c>
      <c r="L83" s="41" t="s">
        <v>53</v>
      </c>
      <c r="M83" s="41" t="s">
        <v>53</v>
      </c>
      <c r="N83" s="41" t="s">
        <v>53</v>
      </c>
      <c r="O83" s="41" t="s">
        <v>53</v>
      </c>
      <c r="P83" s="41" t="s">
        <v>53</v>
      </c>
      <c r="Q83" s="41" t="s">
        <v>53</v>
      </c>
      <c r="R83" s="41" t="s">
        <v>53</v>
      </c>
      <c r="S83" s="41" t="s">
        <v>53</v>
      </c>
      <c r="T83" s="41" t="s">
        <v>53</v>
      </c>
      <c r="U83" s="41" t="s">
        <v>53</v>
      </c>
      <c r="V83" s="41" t="s">
        <v>53</v>
      </c>
      <c r="W83" s="41" t="s">
        <v>53</v>
      </c>
      <c r="X83" s="41" t="s">
        <v>53</v>
      </c>
      <c r="Y83" s="41" t="s">
        <v>53</v>
      </c>
      <c r="Z83" s="41" t="s">
        <v>53</v>
      </c>
      <c r="AA83" s="41" t="s">
        <v>53</v>
      </c>
      <c r="AB83" s="41" t="s">
        <v>53</v>
      </c>
      <c r="AC83" s="43" t="s">
        <v>53</v>
      </c>
      <c r="AD83" s="42" t="s">
        <v>53</v>
      </c>
      <c r="AE83" s="42" t="s">
        <v>53</v>
      </c>
      <c r="AF83" s="42" t="s">
        <v>53</v>
      </c>
      <c r="AG83" s="42" t="s">
        <v>53</v>
      </c>
      <c r="AH83" s="42" t="s">
        <v>53</v>
      </c>
      <c r="AI83" s="42" t="s">
        <v>53</v>
      </c>
      <c r="AJ83" s="41" t="s">
        <v>53</v>
      </c>
      <c r="AK83" s="43" t="s">
        <v>53</v>
      </c>
      <c r="AL83" s="41" t="s">
        <v>53</v>
      </c>
      <c r="AM83" s="42" t="s">
        <v>53</v>
      </c>
      <c r="AN83" s="41" t="s">
        <v>53</v>
      </c>
      <c r="AO83" s="41" t="s">
        <v>53</v>
      </c>
      <c r="AP83" s="41" t="s">
        <v>53</v>
      </c>
      <c r="AQ83" s="41" t="s">
        <v>53</v>
      </c>
      <c r="AR83" s="41" t="s">
        <v>53</v>
      </c>
      <c r="AS83" s="43" t="s">
        <v>53</v>
      </c>
      <c r="AT83" s="42" t="s">
        <v>53</v>
      </c>
      <c r="AU83" s="42" t="s">
        <v>53</v>
      </c>
      <c r="AV83" s="41" t="s">
        <v>53</v>
      </c>
      <c r="AW83" s="41" t="s">
        <v>53</v>
      </c>
      <c r="AX83" s="41" t="s">
        <v>53</v>
      </c>
      <c r="AY83" s="41" t="s">
        <v>53</v>
      </c>
      <c r="AZ83" s="41" t="s">
        <v>53</v>
      </c>
      <c r="BA83" s="41" t="s">
        <v>53</v>
      </c>
      <c r="BB83" s="41" t="s">
        <v>53</v>
      </c>
      <c r="BC83" s="41" t="s">
        <v>53</v>
      </c>
      <c r="BD83" s="41" t="s">
        <v>53</v>
      </c>
      <c r="BE83" s="41" t="s">
        <v>53</v>
      </c>
      <c r="BF83" s="41">
        <f>+BF86-BF84-BF85</f>
        <v>82019.061029409946</v>
      </c>
      <c r="BG83" s="41">
        <v>97340.090547021333</v>
      </c>
      <c r="BH83" s="41">
        <v>99292.34487350189</v>
      </c>
      <c r="BI83" s="43">
        <v>100065.01771354105</v>
      </c>
      <c r="BJ83" s="41">
        <v>111208.95146228168</v>
      </c>
      <c r="BK83" s="41">
        <v>110751.32749207139</v>
      </c>
      <c r="BL83" s="41">
        <v>114613.40061547107</v>
      </c>
      <c r="BM83" s="41">
        <v>127003.42987181769</v>
      </c>
      <c r="BN83" s="41">
        <v>130339.15425019324</v>
      </c>
      <c r="BO83" s="41">
        <v>139314.82273297734</v>
      </c>
      <c r="BP83" s="43">
        <v>147724.73755277597</v>
      </c>
      <c r="BQ83" s="41">
        <v>153687.79926842012</v>
      </c>
      <c r="BR83" s="43">
        <v>157187.77352014344</v>
      </c>
      <c r="BS83" s="41">
        <v>158855.61128088884</v>
      </c>
      <c r="BT83" s="41">
        <v>168582.03371268147</v>
      </c>
      <c r="BU83" s="41">
        <v>181326.27643196759</v>
      </c>
      <c r="BV83" s="41">
        <v>166362.10075204671</v>
      </c>
      <c r="BW83" s="42">
        <v>186258.2414004973</v>
      </c>
      <c r="BX83" s="42">
        <v>200469.54381484751</v>
      </c>
      <c r="BY83" s="42">
        <v>211257.52945785911</v>
      </c>
      <c r="BZ83" s="41">
        <v>228251.45340364997</v>
      </c>
      <c r="CA83" s="41">
        <v>216223.17195707257</v>
      </c>
      <c r="CB83" s="41">
        <v>256555.80929922214</v>
      </c>
      <c r="CC83" s="393">
        <v>293944.81665315892</v>
      </c>
      <c r="CD83" s="393">
        <v>327705.34571227297</v>
      </c>
      <c r="CE83" s="452">
        <v>379543.96403476864</v>
      </c>
    </row>
    <row r="84" spans="1:96" x14ac:dyDescent="0.2">
      <c r="A84" s="47" t="s">
        <v>145</v>
      </c>
      <c r="B84" s="259"/>
      <c r="C84" s="51" t="s">
        <v>53</v>
      </c>
      <c r="D84" s="49" t="s">
        <v>53</v>
      </c>
      <c r="E84" s="49" t="s">
        <v>53</v>
      </c>
      <c r="F84" s="51" t="s">
        <v>53</v>
      </c>
      <c r="G84" s="49" t="s">
        <v>53</v>
      </c>
      <c r="H84" s="49" t="s">
        <v>53</v>
      </c>
      <c r="I84" s="49" t="s">
        <v>53</v>
      </c>
      <c r="J84" s="49" t="s">
        <v>53</v>
      </c>
      <c r="K84" s="49" t="s">
        <v>53</v>
      </c>
      <c r="L84" s="49" t="s">
        <v>53</v>
      </c>
      <c r="M84" s="49" t="s">
        <v>53</v>
      </c>
      <c r="N84" s="49" t="s">
        <v>53</v>
      </c>
      <c r="O84" s="49" t="s">
        <v>53</v>
      </c>
      <c r="P84" s="49" t="s">
        <v>53</v>
      </c>
      <c r="Q84" s="49" t="s">
        <v>53</v>
      </c>
      <c r="R84" s="49" t="s">
        <v>53</v>
      </c>
      <c r="S84" s="49" t="s">
        <v>53</v>
      </c>
      <c r="T84" s="49" t="s">
        <v>53</v>
      </c>
      <c r="U84" s="49" t="s">
        <v>53</v>
      </c>
      <c r="V84" s="49" t="s">
        <v>53</v>
      </c>
      <c r="W84" s="49" t="s">
        <v>53</v>
      </c>
      <c r="X84" s="49" t="s">
        <v>53</v>
      </c>
      <c r="Y84" s="49" t="s">
        <v>53</v>
      </c>
      <c r="Z84" s="49" t="s">
        <v>53</v>
      </c>
      <c r="AA84" s="49" t="s">
        <v>53</v>
      </c>
      <c r="AB84" s="49" t="s">
        <v>53</v>
      </c>
      <c r="AC84" s="51" t="s">
        <v>53</v>
      </c>
      <c r="AD84" s="50" t="s">
        <v>53</v>
      </c>
      <c r="AE84" s="50" t="s">
        <v>53</v>
      </c>
      <c r="AF84" s="50" t="s">
        <v>53</v>
      </c>
      <c r="AG84" s="50" t="s">
        <v>53</v>
      </c>
      <c r="AH84" s="50" t="s">
        <v>53</v>
      </c>
      <c r="AI84" s="50" t="s">
        <v>53</v>
      </c>
      <c r="AJ84" s="49" t="s">
        <v>53</v>
      </c>
      <c r="AK84" s="51" t="s">
        <v>53</v>
      </c>
      <c r="AL84" s="49" t="s">
        <v>53</v>
      </c>
      <c r="AM84" s="50" t="s">
        <v>53</v>
      </c>
      <c r="AN84" s="49" t="s">
        <v>53</v>
      </c>
      <c r="AO84" s="49" t="s">
        <v>53</v>
      </c>
      <c r="AP84" s="49" t="s">
        <v>53</v>
      </c>
      <c r="AQ84" s="49" t="s">
        <v>53</v>
      </c>
      <c r="AR84" s="49" t="s">
        <v>53</v>
      </c>
      <c r="AS84" s="51" t="s">
        <v>53</v>
      </c>
      <c r="AT84" s="50" t="s">
        <v>53</v>
      </c>
      <c r="AU84" s="50" t="s">
        <v>53</v>
      </c>
      <c r="AV84" s="49" t="s">
        <v>53</v>
      </c>
      <c r="AW84" s="49" t="s">
        <v>53</v>
      </c>
      <c r="AX84" s="49" t="s">
        <v>53</v>
      </c>
      <c r="AY84" s="49" t="s">
        <v>53</v>
      </c>
      <c r="AZ84" s="49" t="s">
        <v>53</v>
      </c>
      <c r="BA84" s="49" t="s">
        <v>53</v>
      </c>
      <c r="BB84" s="49" t="s">
        <v>53</v>
      </c>
      <c r="BC84" s="49" t="s">
        <v>53</v>
      </c>
      <c r="BD84" s="49" t="s">
        <v>53</v>
      </c>
      <c r="BE84" s="49" t="s">
        <v>53</v>
      </c>
      <c r="BF84" s="49">
        <v>60790.146991810048</v>
      </c>
      <c r="BG84" s="49">
        <v>71874.416457370084</v>
      </c>
      <c r="BH84" s="49">
        <v>71431.761874479809</v>
      </c>
      <c r="BI84" s="51">
        <v>71521.390889819755</v>
      </c>
      <c r="BJ84" s="49">
        <v>80613.59602131987</v>
      </c>
      <c r="BK84" s="49">
        <v>78373.507372880034</v>
      </c>
      <c r="BL84" s="49">
        <v>84855.972122179694</v>
      </c>
      <c r="BM84" s="49">
        <v>96187.33700462975</v>
      </c>
      <c r="BN84" s="49">
        <v>100916.58799842992</v>
      </c>
      <c r="BO84" s="49">
        <v>107310.55548872988</v>
      </c>
      <c r="BP84" s="51">
        <v>113338.40424046987</v>
      </c>
      <c r="BQ84" s="49">
        <v>117814.47099163938</v>
      </c>
      <c r="BR84" s="51">
        <v>115813.57226822867</v>
      </c>
      <c r="BS84" s="49">
        <v>119662.16057251986</v>
      </c>
      <c r="BT84" s="49">
        <v>127139.21811291925</v>
      </c>
      <c r="BU84" s="49">
        <v>136869.92597008985</v>
      </c>
      <c r="BV84" s="49">
        <v>122021.51691237986</v>
      </c>
      <c r="BW84" s="50">
        <v>136176.43708045929</v>
      </c>
      <c r="BX84" s="50">
        <v>145623.40113168041</v>
      </c>
      <c r="BY84" s="50">
        <v>151772.52774572023</v>
      </c>
      <c r="BZ84" s="49">
        <v>164495.6456089296</v>
      </c>
      <c r="CA84" s="49">
        <v>139687.78352717913</v>
      </c>
      <c r="CB84" s="49">
        <v>172101.57666771003</v>
      </c>
      <c r="CC84" s="394">
        <v>200847.93112338983</v>
      </c>
      <c r="CD84" s="394">
        <v>221280.97164359046</v>
      </c>
      <c r="CE84" s="453">
        <v>249035.10966642899</v>
      </c>
    </row>
    <row r="85" spans="1:96" x14ac:dyDescent="0.2">
      <c r="A85" s="47" t="s">
        <v>146</v>
      </c>
      <c r="B85" s="259"/>
      <c r="C85" s="51" t="s">
        <v>53</v>
      </c>
      <c r="D85" s="49" t="s">
        <v>53</v>
      </c>
      <c r="E85" s="49" t="s">
        <v>53</v>
      </c>
      <c r="F85" s="51" t="s">
        <v>53</v>
      </c>
      <c r="G85" s="49" t="s">
        <v>53</v>
      </c>
      <c r="H85" s="49" t="s">
        <v>53</v>
      </c>
      <c r="I85" s="49" t="s">
        <v>53</v>
      </c>
      <c r="J85" s="49" t="s">
        <v>53</v>
      </c>
      <c r="K85" s="49" t="s">
        <v>53</v>
      </c>
      <c r="L85" s="49" t="s">
        <v>53</v>
      </c>
      <c r="M85" s="49" t="s">
        <v>53</v>
      </c>
      <c r="N85" s="49" t="s">
        <v>53</v>
      </c>
      <c r="O85" s="49" t="s">
        <v>53</v>
      </c>
      <c r="P85" s="49" t="s">
        <v>53</v>
      </c>
      <c r="Q85" s="49" t="s">
        <v>53</v>
      </c>
      <c r="R85" s="49" t="s">
        <v>53</v>
      </c>
      <c r="S85" s="49" t="s">
        <v>53</v>
      </c>
      <c r="T85" s="49" t="s">
        <v>53</v>
      </c>
      <c r="U85" s="49" t="s">
        <v>53</v>
      </c>
      <c r="V85" s="49" t="s">
        <v>53</v>
      </c>
      <c r="W85" s="49" t="s">
        <v>53</v>
      </c>
      <c r="X85" s="49" t="s">
        <v>53</v>
      </c>
      <c r="Y85" s="49" t="s">
        <v>53</v>
      </c>
      <c r="Z85" s="49" t="s">
        <v>53</v>
      </c>
      <c r="AA85" s="49" t="s">
        <v>53</v>
      </c>
      <c r="AB85" s="49" t="s">
        <v>53</v>
      </c>
      <c r="AC85" s="51" t="s">
        <v>53</v>
      </c>
      <c r="AD85" s="50" t="s">
        <v>53</v>
      </c>
      <c r="AE85" s="50" t="s">
        <v>53</v>
      </c>
      <c r="AF85" s="50" t="s">
        <v>53</v>
      </c>
      <c r="AG85" s="50" t="s">
        <v>53</v>
      </c>
      <c r="AH85" s="50" t="s">
        <v>53</v>
      </c>
      <c r="AI85" s="50" t="s">
        <v>53</v>
      </c>
      <c r="AJ85" s="49" t="s">
        <v>53</v>
      </c>
      <c r="AK85" s="51" t="s">
        <v>53</v>
      </c>
      <c r="AL85" s="49" t="s">
        <v>53</v>
      </c>
      <c r="AM85" s="50" t="s">
        <v>53</v>
      </c>
      <c r="AN85" s="49" t="s">
        <v>53</v>
      </c>
      <c r="AO85" s="49" t="s">
        <v>53</v>
      </c>
      <c r="AP85" s="49" t="s">
        <v>53</v>
      </c>
      <c r="AQ85" s="49" t="s">
        <v>53</v>
      </c>
      <c r="AR85" s="49" t="s">
        <v>53</v>
      </c>
      <c r="AS85" s="51" t="s">
        <v>53</v>
      </c>
      <c r="AT85" s="50" t="s">
        <v>53</v>
      </c>
      <c r="AU85" s="50" t="s">
        <v>53</v>
      </c>
      <c r="AV85" s="49" t="s">
        <v>53</v>
      </c>
      <c r="AW85" s="49" t="s">
        <v>53</v>
      </c>
      <c r="AX85" s="49" t="s">
        <v>53</v>
      </c>
      <c r="AY85" s="49" t="s">
        <v>53</v>
      </c>
      <c r="AZ85" s="49" t="s">
        <v>53</v>
      </c>
      <c r="BA85" s="49" t="s">
        <v>53</v>
      </c>
      <c r="BB85" s="49" t="s">
        <v>53</v>
      </c>
      <c r="BC85" s="49" t="s">
        <v>53</v>
      </c>
      <c r="BD85" s="49" t="s">
        <v>53</v>
      </c>
      <c r="BE85" s="49" t="s">
        <v>53</v>
      </c>
      <c r="BF85" s="49">
        <v>4466.5122217599965</v>
      </c>
      <c r="BG85" s="49">
        <v>4830.4452738099944</v>
      </c>
      <c r="BH85" s="49">
        <v>5065.3978426699923</v>
      </c>
      <c r="BI85" s="51">
        <v>5024.9798729400054</v>
      </c>
      <c r="BJ85" s="49">
        <v>6366.6468752899973</v>
      </c>
      <c r="BK85" s="49">
        <v>6502.1315701599924</v>
      </c>
      <c r="BL85" s="49">
        <v>6389.1762933999926</v>
      </c>
      <c r="BM85" s="49">
        <v>7237.8288853200029</v>
      </c>
      <c r="BN85" s="49">
        <v>7889.0247029300044</v>
      </c>
      <c r="BO85" s="49">
        <v>8426.0101067200485</v>
      </c>
      <c r="BP85" s="51">
        <v>9285.6983306600323</v>
      </c>
      <c r="BQ85" s="49">
        <v>9475.6149352800276</v>
      </c>
      <c r="BR85" s="51">
        <v>9929.6592938000449</v>
      </c>
      <c r="BS85" s="49">
        <v>10202.859153010009</v>
      </c>
      <c r="BT85" s="49">
        <v>11422.237769740019</v>
      </c>
      <c r="BU85" s="49">
        <v>12786.660622210025</v>
      </c>
      <c r="BV85" s="49">
        <v>11595.686177000007</v>
      </c>
      <c r="BW85" s="50">
        <v>13232.927021350009</v>
      </c>
      <c r="BX85" s="50">
        <v>13193.197216680015</v>
      </c>
      <c r="BY85" s="50">
        <v>14054.381786420017</v>
      </c>
      <c r="BZ85" s="49">
        <v>14971.624459720008</v>
      </c>
      <c r="CA85" s="49">
        <v>12253.810549890002</v>
      </c>
      <c r="CB85" s="49">
        <v>15922.416580610035</v>
      </c>
      <c r="CC85" s="394">
        <v>19399.544640710028</v>
      </c>
      <c r="CD85" s="394">
        <v>21522.825851180045</v>
      </c>
      <c r="CE85" s="453">
        <v>25365.551689319986</v>
      </c>
    </row>
    <row r="86" spans="1:96" ht="15" x14ac:dyDescent="0.2">
      <c r="A86" s="54" t="s">
        <v>203</v>
      </c>
      <c r="B86" s="277"/>
      <c r="C86" s="56" t="s">
        <v>53</v>
      </c>
      <c r="D86" s="56" t="s">
        <v>53</v>
      </c>
      <c r="E86" s="56" t="s">
        <v>53</v>
      </c>
      <c r="F86" s="56" t="s">
        <v>53</v>
      </c>
      <c r="G86" s="56" t="s">
        <v>53</v>
      </c>
      <c r="H86" s="56" t="s">
        <v>53</v>
      </c>
      <c r="I86" s="56" t="s">
        <v>53</v>
      </c>
      <c r="J86" s="56" t="s">
        <v>53</v>
      </c>
      <c r="K86" s="56" t="s">
        <v>53</v>
      </c>
      <c r="L86" s="56" t="s">
        <v>53</v>
      </c>
      <c r="M86" s="56" t="s">
        <v>53</v>
      </c>
      <c r="N86" s="56" t="s">
        <v>53</v>
      </c>
      <c r="O86" s="56" t="s">
        <v>53</v>
      </c>
      <c r="P86" s="56" t="s">
        <v>53</v>
      </c>
      <c r="Q86" s="56" t="s">
        <v>53</v>
      </c>
      <c r="R86" s="56" t="s">
        <v>53</v>
      </c>
      <c r="S86" s="56" t="s">
        <v>53</v>
      </c>
      <c r="T86" s="56" t="s">
        <v>53</v>
      </c>
      <c r="U86" s="56" t="s">
        <v>53</v>
      </c>
      <c r="V86" s="56" t="s">
        <v>53</v>
      </c>
      <c r="W86" s="56" t="s">
        <v>53</v>
      </c>
      <c r="X86" s="56" t="s">
        <v>53</v>
      </c>
      <c r="Y86" s="56" t="s">
        <v>53</v>
      </c>
      <c r="Z86" s="56" t="s">
        <v>53</v>
      </c>
      <c r="AA86" s="56" t="s">
        <v>53</v>
      </c>
      <c r="AB86" s="56" t="s">
        <v>53</v>
      </c>
      <c r="AC86" s="56" t="s">
        <v>53</v>
      </c>
      <c r="AD86" s="56" t="s">
        <v>53</v>
      </c>
      <c r="AE86" s="56" t="s">
        <v>53</v>
      </c>
      <c r="AF86" s="56" t="s">
        <v>53</v>
      </c>
      <c r="AG86" s="56" t="s">
        <v>53</v>
      </c>
      <c r="AH86" s="56" t="s">
        <v>53</v>
      </c>
      <c r="AI86" s="56" t="s">
        <v>53</v>
      </c>
      <c r="AJ86" s="56" t="s">
        <v>53</v>
      </c>
      <c r="AK86" s="56" t="s">
        <v>53</v>
      </c>
      <c r="AL86" s="56" t="s">
        <v>53</v>
      </c>
      <c r="AM86" s="56" t="s">
        <v>53</v>
      </c>
      <c r="AN86" s="56" t="s">
        <v>53</v>
      </c>
      <c r="AO86" s="56" t="s">
        <v>53</v>
      </c>
      <c r="AP86" s="56" t="s">
        <v>53</v>
      </c>
      <c r="AQ86" s="56" t="s">
        <v>53</v>
      </c>
      <c r="AR86" s="56" t="s">
        <v>53</v>
      </c>
      <c r="AS86" s="56" t="s">
        <v>53</v>
      </c>
      <c r="AT86" s="56" t="s">
        <v>53</v>
      </c>
      <c r="AU86" s="56" t="s">
        <v>53</v>
      </c>
      <c r="AV86" s="56" t="s">
        <v>53</v>
      </c>
      <c r="AW86" s="56" t="s">
        <v>53</v>
      </c>
      <c r="AX86" s="56" t="s">
        <v>53</v>
      </c>
      <c r="AY86" s="56" t="s">
        <v>53</v>
      </c>
      <c r="AZ86" s="56" t="s">
        <v>53</v>
      </c>
      <c r="BA86" s="56" t="s">
        <v>53</v>
      </c>
      <c r="BB86" s="56" t="s">
        <v>53</v>
      </c>
      <c r="BC86" s="56" t="s">
        <v>53</v>
      </c>
      <c r="BD86" s="56" t="s">
        <v>53</v>
      </c>
      <c r="BE86" s="56" t="s">
        <v>53</v>
      </c>
      <c r="BF86" s="56">
        <f>+BF78</f>
        <v>147275.72024297999</v>
      </c>
      <c r="BG86" s="56">
        <f t="shared" ref="BG86:BT86" si="62">SUM(BG83:BG85)</f>
        <v>174044.95227820141</v>
      </c>
      <c r="BH86" s="56">
        <f t="shared" si="62"/>
        <v>175789.50459065169</v>
      </c>
      <c r="BI86" s="56">
        <f t="shared" si="62"/>
        <v>176611.38847630081</v>
      </c>
      <c r="BJ86" s="56">
        <f t="shared" si="62"/>
        <v>198189.19435889155</v>
      </c>
      <c r="BK86" s="56">
        <f t="shared" si="62"/>
        <v>195626.96643511142</v>
      </c>
      <c r="BL86" s="56">
        <f t="shared" si="62"/>
        <v>205858.54903105076</v>
      </c>
      <c r="BM86" s="56">
        <f t="shared" si="62"/>
        <v>230428.59576176741</v>
      </c>
      <c r="BN86" s="56">
        <f t="shared" si="62"/>
        <v>239144.76695155317</v>
      </c>
      <c r="BO86" s="56">
        <f t="shared" si="62"/>
        <v>255051.38832842727</v>
      </c>
      <c r="BP86" s="56">
        <f t="shared" si="62"/>
        <v>270348.84012390592</v>
      </c>
      <c r="BQ86" s="56">
        <f t="shared" si="62"/>
        <v>280977.88519533956</v>
      </c>
      <c r="BR86" s="56">
        <f t="shared" si="62"/>
        <v>282931.00508217217</v>
      </c>
      <c r="BS86" s="56">
        <f t="shared" si="62"/>
        <v>288720.63100641873</v>
      </c>
      <c r="BT86" s="56">
        <f t="shared" si="62"/>
        <v>307143.48959534074</v>
      </c>
      <c r="BU86" s="56">
        <f t="shared" ref="BU86:BZ86" si="63">SUM(BU83:BU85)</f>
        <v>330982.86302426748</v>
      </c>
      <c r="BV86" s="56">
        <f t="shared" si="63"/>
        <v>299979.30384142656</v>
      </c>
      <c r="BW86" s="58">
        <f t="shared" si="63"/>
        <v>335667.6055023066</v>
      </c>
      <c r="BX86" s="58">
        <f>SUM(BX83:BX85)</f>
        <v>359286.14216320799</v>
      </c>
      <c r="BY86" s="58">
        <f>SUM(BY83:BY85)</f>
        <v>377084.43898999935</v>
      </c>
      <c r="BZ86" s="56">
        <f t="shared" si="63"/>
        <v>407718.72347229952</v>
      </c>
      <c r="CA86" s="56">
        <f>SUM(CA83:CA85)</f>
        <v>368164.76603414171</v>
      </c>
      <c r="CB86" s="56">
        <f>SUM(CB83:CB85)</f>
        <v>444579.8025475422</v>
      </c>
      <c r="CC86" s="395">
        <f>SUM(CC83:CC85)</f>
        <v>514192.29241725878</v>
      </c>
      <c r="CD86" s="395">
        <f>SUM(CD83:CD85)</f>
        <v>570509.14320704341</v>
      </c>
      <c r="CE86" s="364">
        <f>SUM(CE83:CE85)</f>
        <v>653944.62539051764</v>
      </c>
    </row>
    <row r="87" spans="1:96" x14ac:dyDescent="0.2">
      <c r="A87" s="11"/>
      <c r="B87" s="111"/>
      <c r="C87" s="7"/>
      <c r="D87" s="32"/>
      <c r="E87" s="32"/>
      <c r="F87" s="7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7"/>
      <c r="AD87" s="33"/>
      <c r="AE87" s="33"/>
      <c r="AF87" s="33"/>
      <c r="AG87" s="33"/>
      <c r="AH87" s="33"/>
      <c r="AI87" s="33"/>
      <c r="AJ87" s="32"/>
      <c r="AK87" s="7"/>
      <c r="AL87" s="32"/>
      <c r="AM87" s="33"/>
      <c r="AN87" s="32"/>
      <c r="AO87" s="32"/>
      <c r="AP87" s="32"/>
      <c r="AQ87" s="32"/>
      <c r="AR87" s="32"/>
      <c r="AS87" s="7"/>
      <c r="AT87" s="33"/>
      <c r="AU87" s="33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7"/>
      <c r="BJ87" s="32"/>
      <c r="BK87" s="32"/>
      <c r="BL87" s="32"/>
      <c r="BM87" s="32"/>
      <c r="BN87" s="32"/>
      <c r="BO87" s="32"/>
      <c r="BP87" s="7"/>
      <c r="BQ87" s="32"/>
      <c r="BR87" s="7"/>
      <c r="BS87" s="32"/>
      <c r="BT87" s="32"/>
      <c r="BU87" s="32"/>
      <c r="BV87" s="32"/>
      <c r="BW87" s="33"/>
      <c r="BX87" s="33"/>
      <c r="BY87" s="33"/>
      <c r="BZ87" s="32"/>
      <c r="CA87" s="32"/>
      <c r="CB87" s="32"/>
      <c r="CC87" s="392"/>
      <c r="CD87" s="392"/>
      <c r="CE87" s="361"/>
    </row>
    <row r="88" spans="1:96" x14ac:dyDescent="0.2">
      <c r="A88" s="304" t="s">
        <v>160</v>
      </c>
      <c r="B88" s="111"/>
      <c r="C88" s="7"/>
      <c r="D88" s="32"/>
      <c r="E88" s="32"/>
      <c r="F88" s="7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7"/>
      <c r="AD88" s="33"/>
      <c r="AE88" s="33"/>
      <c r="AF88" s="33"/>
      <c r="AG88" s="33"/>
      <c r="AH88" s="33"/>
      <c r="AI88" s="33"/>
      <c r="AJ88" s="32"/>
      <c r="AK88" s="7"/>
      <c r="AL88" s="32"/>
      <c r="AM88" s="33"/>
      <c r="AN88" s="32"/>
      <c r="AO88" s="32"/>
      <c r="AP88" s="32"/>
      <c r="AQ88" s="32"/>
      <c r="AR88" s="32"/>
      <c r="AS88" s="7"/>
      <c r="AT88" s="33"/>
      <c r="AU88" s="33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7"/>
      <c r="BJ88" s="32"/>
      <c r="BK88" s="32"/>
      <c r="BL88" s="32"/>
      <c r="BM88" s="32"/>
      <c r="BN88" s="32"/>
      <c r="BO88" s="32"/>
      <c r="BP88" s="7"/>
      <c r="BQ88" s="32"/>
      <c r="BR88" s="7"/>
      <c r="BS88" s="32"/>
      <c r="BT88" s="32"/>
      <c r="BU88" s="32"/>
      <c r="BV88" s="32"/>
      <c r="BW88" s="33"/>
      <c r="BX88" s="33"/>
      <c r="BY88" s="33"/>
      <c r="BZ88" s="32"/>
      <c r="CA88" s="32"/>
      <c r="CB88" s="32"/>
      <c r="CC88" s="392"/>
      <c r="CD88" s="392"/>
      <c r="CE88" s="361"/>
    </row>
    <row r="89" spans="1:96" x14ac:dyDescent="0.2">
      <c r="A89" s="39" t="s">
        <v>129</v>
      </c>
      <c r="B89" s="258">
        <v>-61.1</v>
      </c>
      <c r="C89" s="43">
        <v>91.8</v>
      </c>
      <c r="D89" s="41">
        <v>86.5</v>
      </c>
      <c r="E89" s="41">
        <v>155</v>
      </c>
      <c r="F89" s="43">
        <v>214.4</v>
      </c>
      <c r="G89" s="41">
        <v>281.2</v>
      </c>
      <c r="H89" s="41">
        <v>191.7</v>
      </c>
      <c r="I89" s="41">
        <v>179.6</v>
      </c>
      <c r="J89" s="41">
        <v>247.9</v>
      </c>
      <c r="K89" s="41">
        <v>237.1</v>
      </c>
      <c r="L89" s="41">
        <v>267.89999999999998</v>
      </c>
      <c r="M89" s="41">
        <v>413.5</v>
      </c>
      <c r="N89" s="41">
        <v>491.2</v>
      </c>
      <c r="O89" s="41">
        <v>707.1</v>
      </c>
      <c r="P89" s="41">
        <v>894.6</v>
      </c>
      <c r="Q89" s="41">
        <v>881.5</v>
      </c>
      <c r="R89" s="41">
        <v>1100</v>
      </c>
      <c r="S89" s="41">
        <v>1281.5</v>
      </c>
      <c r="T89" s="41">
        <v>1241.0999999999999</v>
      </c>
      <c r="U89" s="41">
        <v>1607.6</v>
      </c>
      <c r="V89" s="41">
        <v>2052.4</v>
      </c>
      <c r="W89" s="41">
        <v>2369.1999999999998</v>
      </c>
      <c r="X89" s="41">
        <v>1893.7</v>
      </c>
      <c r="Y89" s="41">
        <v>2015.4</v>
      </c>
      <c r="Z89" s="41">
        <v>2290.3000000000002</v>
      </c>
      <c r="AA89" s="41">
        <v>2206.9</v>
      </c>
      <c r="AB89" s="41">
        <v>2230</v>
      </c>
      <c r="AC89" s="43">
        <v>2260</v>
      </c>
      <c r="AD89" s="42">
        <v>2301</v>
      </c>
      <c r="AE89" s="42">
        <v>2370</v>
      </c>
      <c r="AF89" s="42">
        <v>2328</v>
      </c>
      <c r="AG89" s="42">
        <v>1832</v>
      </c>
      <c r="AH89" s="42">
        <v>1253</v>
      </c>
      <c r="AI89" s="42">
        <v>1497</v>
      </c>
      <c r="AJ89" s="41">
        <v>1997</v>
      </c>
      <c r="AK89" s="42">
        <v>2608</v>
      </c>
      <c r="AL89" s="41">
        <v>3125</v>
      </c>
      <c r="AM89" s="42">
        <v>3774</v>
      </c>
      <c r="AN89" s="41">
        <v>3840</v>
      </c>
      <c r="AO89" s="41">
        <v>3892</v>
      </c>
      <c r="AP89" s="41">
        <v>3861</v>
      </c>
      <c r="AQ89" s="41">
        <v>4667</v>
      </c>
      <c r="AR89" s="41">
        <v>4050</v>
      </c>
      <c r="AS89" s="43">
        <v>2819</v>
      </c>
      <c r="AT89" s="42">
        <v>2557</v>
      </c>
      <c r="AU89" s="42">
        <v>3246</v>
      </c>
      <c r="AV89" s="41">
        <v>2695</v>
      </c>
      <c r="AW89" s="41">
        <v>2778</v>
      </c>
      <c r="AX89" s="41">
        <v>2861</v>
      </c>
      <c r="AY89" s="41">
        <v>3072</v>
      </c>
      <c r="AZ89" s="41">
        <v>2912</v>
      </c>
      <c r="BA89" s="41">
        <v>3130</v>
      </c>
      <c r="BB89" s="41">
        <v>3286</v>
      </c>
      <c r="BC89" s="41">
        <v>4075</v>
      </c>
      <c r="BD89" s="41">
        <v>4496</v>
      </c>
      <c r="BE89" s="41">
        <v>4925</v>
      </c>
      <c r="BF89" s="41">
        <v>5348.72024297998</v>
      </c>
      <c r="BG89" s="41">
        <v>5822</v>
      </c>
      <c r="BH89" s="41">
        <v>5747</v>
      </c>
      <c r="BI89" s="43">
        <v>5879</v>
      </c>
      <c r="BJ89" s="41">
        <v>6540.2121438000004</v>
      </c>
      <c r="BK89" s="41">
        <v>6688.5912854099997</v>
      </c>
      <c r="BL89" s="41">
        <v>6622</v>
      </c>
      <c r="BM89" s="41">
        <v>7518</v>
      </c>
      <c r="BN89" s="41">
        <v>8183</v>
      </c>
      <c r="BO89" s="41">
        <v>8757</v>
      </c>
      <c r="BP89" s="43">
        <v>8768.3406854599998</v>
      </c>
      <c r="BQ89" s="41">
        <v>8928</v>
      </c>
      <c r="BR89" s="43">
        <v>9514.5441704100012</v>
      </c>
      <c r="BS89" s="41">
        <v>9786</v>
      </c>
      <c r="BT89" s="41">
        <v>9886.1090000000004</v>
      </c>
      <c r="BU89" s="41">
        <v>10139.359521</v>
      </c>
      <c r="BV89" s="41">
        <v>10350.32</v>
      </c>
      <c r="BW89" s="42">
        <v>11096.902404959999</v>
      </c>
      <c r="BX89" s="42">
        <v>11344.797309379999</v>
      </c>
      <c r="BY89" s="42">
        <v>11992.04185831</v>
      </c>
      <c r="BZ89" s="41">
        <v>13115.988547999999</v>
      </c>
      <c r="CA89" s="41">
        <v>12672.117849550001</v>
      </c>
      <c r="CB89" s="41">
        <v>14009.43246226</v>
      </c>
      <c r="CC89" s="393">
        <v>15117.98906521</v>
      </c>
      <c r="CD89" s="393">
        <v>16298.1547474</v>
      </c>
      <c r="CE89" s="452">
        <v>17427.175150679999</v>
      </c>
      <c r="CF89" s="466"/>
      <c r="CR89" s="263"/>
    </row>
    <row r="90" spans="1:96" x14ac:dyDescent="0.2">
      <c r="A90" s="47" t="s">
        <v>130</v>
      </c>
      <c r="B90" s="259"/>
      <c r="C90" s="49">
        <f t="shared" ref="C90:AH90" si="64">+C89</f>
        <v>91.8</v>
      </c>
      <c r="D90" s="49">
        <f t="shared" si="64"/>
        <v>86.5</v>
      </c>
      <c r="E90" s="49">
        <f t="shared" si="64"/>
        <v>155</v>
      </c>
      <c r="F90" s="49">
        <f t="shared" si="64"/>
        <v>214.4</v>
      </c>
      <c r="G90" s="49">
        <f t="shared" si="64"/>
        <v>281.2</v>
      </c>
      <c r="H90" s="49">
        <f t="shared" si="64"/>
        <v>191.7</v>
      </c>
      <c r="I90" s="49">
        <f t="shared" si="64"/>
        <v>179.6</v>
      </c>
      <c r="J90" s="49">
        <f t="shared" si="64"/>
        <v>247.9</v>
      </c>
      <c r="K90" s="49">
        <f t="shared" si="64"/>
        <v>237.1</v>
      </c>
      <c r="L90" s="49">
        <f t="shared" si="64"/>
        <v>267.89999999999998</v>
      </c>
      <c r="M90" s="49">
        <f t="shared" si="64"/>
        <v>413.5</v>
      </c>
      <c r="N90" s="49">
        <f t="shared" si="64"/>
        <v>491.2</v>
      </c>
      <c r="O90" s="49">
        <f t="shared" si="64"/>
        <v>707.1</v>
      </c>
      <c r="P90" s="49">
        <f t="shared" si="64"/>
        <v>894.6</v>
      </c>
      <c r="Q90" s="49">
        <f t="shared" si="64"/>
        <v>881.5</v>
      </c>
      <c r="R90" s="49">
        <f t="shared" si="64"/>
        <v>1100</v>
      </c>
      <c r="S90" s="49">
        <f t="shared" si="64"/>
        <v>1281.5</v>
      </c>
      <c r="T90" s="49">
        <f t="shared" si="64"/>
        <v>1241.0999999999999</v>
      </c>
      <c r="U90" s="49">
        <f t="shared" si="64"/>
        <v>1607.6</v>
      </c>
      <c r="V90" s="49">
        <f t="shared" si="64"/>
        <v>2052.4</v>
      </c>
      <c r="W90" s="49">
        <f t="shared" si="64"/>
        <v>2369.1999999999998</v>
      </c>
      <c r="X90" s="49">
        <f t="shared" si="64"/>
        <v>1893.7</v>
      </c>
      <c r="Y90" s="49">
        <f t="shared" si="64"/>
        <v>2015.4</v>
      </c>
      <c r="Z90" s="49">
        <f t="shared" si="64"/>
        <v>2290.3000000000002</v>
      </c>
      <c r="AA90" s="49">
        <f t="shared" si="64"/>
        <v>2206.9</v>
      </c>
      <c r="AB90" s="49">
        <f t="shared" si="64"/>
        <v>2230</v>
      </c>
      <c r="AC90" s="49">
        <f t="shared" si="64"/>
        <v>2260</v>
      </c>
      <c r="AD90" s="49">
        <f t="shared" si="64"/>
        <v>2301</v>
      </c>
      <c r="AE90" s="49">
        <f t="shared" si="64"/>
        <v>2370</v>
      </c>
      <c r="AF90" s="49">
        <f t="shared" si="64"/>
        <v>2328</v>
      </c>
      <c r="AG90" s="49">
        <f t="shared" si="64"/>
        <v>1832</v>
      </c>
      <c r="AH90" s="49">
        <f t="shared" si="64"/>
        <v>1253</v>
      </c>
      <c r="AI90" s="49">
        <f t="shared" ref="AI90:BA90" si="65">+AI89</f>
        <v>1497</v>
      </c>
      <c r="AJ90" s="49">
        <f t="shared" si="65"/>
        <v>1997</v>
      </c>
      <c r="AK90" s="49">
        <f t="shared" si="65"/>
        <v>2608</v>
      </c>
      <c r="AL90" s="49">
        <f t="shared" si="65"/>
        <v>3125</v>
      </c>
      <c r="AM90" s="49">
        <f t="shared" si="65"/>
        <v>3774</v>
      </c>
      <c r="AN90" s="49">
        <f t="shared" si="65"/>
        <v>3840</v>
      </c>
      <c r="AO90" s="49">
        <f t="shared" si="65"/>
        <v>3892</v>
      </c>
      <c r="AP90" s="49">
        <f t="shared" si="65"/>
        <v>3861</v>
      </c>
      <c r="AQ90" s="49">
        <f t="shared" si="65"/>
        <v>4667</v>
      </c>
      <c r="AR90" s="49">
        <f t="shared" si="65"/>
        <v>4050</v>
      </c>
      <c r="AS90" s="49">
        <f t="shared" si="65"/>
        <v>2819</v>
      </c>
      <c r="AT90" s="49">
        <f t="shared" si="65"/>
        <v>2557</v>
      </c>
      <c r="AU90" s="49">
        <f t="shared" si="65"/>
        <v>3246</v>
      </c>
      <c r="AV90" s="49">
        <f t="shared" si="65"/>
        <v>2695</v>
      </c>
      <c r="AW90" s="49">
        <f t="shared" si="65"/>
        <v>2778</v>
      </c>
      <c r="AX90" s="49">
        <f t="shared" si="65"/>
        <v>2861</v>
      </c>
      <c r="AY90" s="49">
        <f t="shared" si="65"/>
        <v>3072</v>
      </c>
      <c r="AZ90" s="49">
        <f t="shared" si="65"/>
        <v>2912</v>
      </c>
      <c r="BA90" s="49">
        <f t="shared" si="65"/>
        <v>3130</v>
      </c>
      <c r="BB90" s="49">
        <f t="shared" ref="BB90:BR90" si="66">+BB89-BB91</f>
        <v>3192</v>
      </c>
      <c r="BC90" s="49">
        <f t="shared" si="66"/>
        <v>3318</v>
      </c>
      <c r="BD90" s="49">
        <f t="shared" si="66"/>
        <v>3301</v>
      </c>
      <c r="BE90" s="49">
        <f t="shared" si="66"/>
        <v>3436</v>
      </c>
      <c r="BF90" s="49">
        <f t="shared" si="66"/>
        <v>3334.72024297998</v>
      </c>
      <c r="BG90" s="49">
        <f t="shared" si="66"/>
        <v>3536</v>
      </c>
      <c r="BH90" s="49">
        <f t="shared" si="66"/>
        <v>3389</v>
      </c>
      <c r="BI90" s="49">
        <f t="shared" si="66"/>
        <v>3399.7460775800005</v>
      </c>
      <c r="BJ90" s="49">
        <f t="shared" si="66"/>
        <v>3821.5083425100011</v>
      </c>
      <c r="BK90" s="49">
        <f t="shared" si="66"/>
        <v>3803.5912854099997</v>
      </c>
      <c r="BL90" s="49">
        <f t="shared" si="66"/>
        <v>3599</v>
      </c>
      <c r="BM90" s="49">
        <f t="shared" si="66"/>
        <v>3922</v>
      </c>
      <c r="BN90" s="49">
        <f t="shared" si="66"/>
        <v>4127</v>
      </c>
      <c r="BO90" s="49">
        <f t="shared" si="66"/>
        <v>4293.5203155400022</v>
      </c>
      <c r="BP90" s="49">
        <f t="shared" si="66"/>
        <v>4112.1338547799987</v>
      </c>
      <c r="BQ90" s="49">
        <f t="shared" si="66"/>
        <v>3934</v>
      </c>
      <c r="BR90" s="49">
        <f t="shared" si="66"/>
        <v>4230.8201392299952</v>
      </c>
      <c r="BS90" s="49">
        <v>4302</v>
      </c>
      <c r="BT90" s="49">
        <v>4234.5159999999996</v>
      </c>
      <c r="BU90" s="49">
        <v>4379.2138954800002</v>
      </c>
      <c r="BV90" s="49">
        <v>4366.6200050699999</v>
      </c>
      <c r="BW90" s="50">
        <v>4812.6362185400003</v>
      </c>
      <c r="BX90" s="50">
        <v>4603.5959735799997</v>
      </c>
      <c r="BY90" s="50">
        <v>4776.5122921100001</v>
      </c>
      <c r="BZ90" s="49">
        <v>5164.35258213</v>
      </c>
      <c r="CA90" s="49">
        <v>4285.0624829099997</v>
      </c>
      <c r="CB90" s="49">
        <v>5369.83114897</v>
      </c>
      <c r="CC90" s="394">
        <v>6284.8803080399803</v>
      </c>
      <c r="CD90" s="394">
        <v>6973.92203865999</v>
      </c>
      <c r="CE90" s="453">
        <v>7825.9173869599999</v>
      </c>
      <c r="CR90" s="263"/>
    </row>
    <row r="91" spans="1:96" x14ac:dyDescent="0.2">
      <c r="A91" s="47" t="s">
        <v>133</v>
      </c>
      <c r="B91" s="259"/>
      <c r="C91" s="49" t="s">
        <v>53</v>
      </c>
      <c r="D91" s="49" t="s">
        <v>53</v>
      </c>
      <c r="E91" s="49" t="s">
        <v>53</v>
      </c>
      <c r="F91" s="49" t="s">
        <v>53</v>
      </c>
      <c r="G91" s="49" t="s">
        <v>53</v>
      </c>
      <c r="H91" s="49" t="s">
        <v>53</v>
      </c>
      <c r="I91" s="49" t="s">
        <v>53</v>
      </c>
      <c r="J91" s="49" t="s">
        <v>53</v>
      </c>
      <c r="K91" s="49" t="s">
        <v>53</v>
      </c>
      <c r="L91" s="49" t="s">
        <v>53</v>
      </c>
      <c r="M91" s="49" t="s">
        <v>53</v>
      </c>
      <c r="N91" s="49" t="s">
        <v>53</v>
      </c>
      <c r="O91" s="49" t="s">
        <v>53</v>
      </c>
      <c r="P91" s="49" t="s">
        <v>53</v>
      </c>
      <c r="Q91" s="49" t="s">
        <v>53</v>
      </c>
      <c r="R91" s="49" t="s">
        <v>53</v>
      </c>
      <c r="S91" s="49" t="s">
        <v>53</v>
      </c>
      <c r="T91" s="49" t="s">
        <v>53</v>
      </c>
      <c r="U91" s="49" t="s">
        <v>53</v>
      </c>
      <c r="V91" s="49" t="s">
        <v>53</v>
      </c>
      <c r="W91" s="49" t="s">
        <v>53</v>
      </c>
      <c r="X91" s="49" t="s">
        <v>53</v>
      </c>
      <c r="Y91" s="49" t="s">
        <v>53</v>
      </c>
      <c r="Z91" s="49" t="s">
        <v>53</v>
      </c>
      <c r="AA91" s="49" t="s">
        <v>53</v>
      </c>
      <c r="AB91" s="49" t="s">
        <v>53</v>
      </c>
      <c r="AC91" s="49" t="s">
        <v>53</v>
      </c>
      <c r="AD91" s="49" t="s">
        <v>53</v>
      </c>
      <c r="AE91" s="49" t="s">
        <v>53</v>
      </c>
      <c r="AF91" s="49" t="s">
        <v>53</v>
      </c>
      <c r="AG91" s="49" t="s">
        <v>53</v>
      </c>
      <c r="AH91" s="49" t="s">
        <v>53</v>
      </c>
      <c r="AI91" s="49" t="s">
        <v>53</v>
      </c>
      <c r="AJ91" s="49" t="s">
        <v>53</v>
      </c>
      <c r="AK91" s="49" t="s">
        <v>53</v>
      </c>
      <c r="AL91" s="49" t="s">
        <v>53</v>
      </c>
      <c r="AM91" s="49" t="s">
        <v>53</v>
      </c>
      <c r="AN91" s="49" t="s">
        <v>53</v>
      </c>
      <c r="AO91" s="49" t="s">
        <v>53</v>
      </c>
      <c r="AP91" s="49" t="s">
        <v>53</v>
      </c>
      <c r="AQ91" s="49" t="s">
        <v>53</v>
      </c>
      <c r="AR91" s="49" t="s">
        <v>53</v>
      </c>
      <c r="AS91" s="49" t="s">
        <v>53</v>
      </c>
      <c r="AT91" s="49" t="s">
        <v>53</v>
      </c>
      <c r="AU91" s="49" t="s">
        <v>53</v>
      </c>
      <c r="AV91" s="49" t="s">
        <v>53</v>
      </c>
      <c r="AW91" s="49" t="s">
        <v>53</v>
      </c>
      <c r="AX91" s="49" t="s">
        <v>53</v>
      </c>
      <c r="AY91" s="49" t="s">
        <v>53</v>
      </c>
      <c r="AZ91" s="49" t="s">
        <v>53</v>
      </c>
      <c r="BA91" s="49" t="s">
        <v>53</v>
      </c>
      <c r="BB91" s="49">
        <v>94</v>
      </c>
      <c r="BC91" s="49">
        <v>757</v>
      </c>
      <c r="BD91" s="49">
        <v>1195</v>
      </c>
      <c r="BE91" s="49">
        <v>1489</v>
      </c>
      <c r="BF91" s="49">
        <v>2014</v>
      </c>
      <c r="BG91" s="49">
        <v>2286</v>
      </c>
      <c r="BH91" s="49">
        <v>2358</v>
      </c>
      <c r="BI91" s="49">
        <v>2479.2539224199995</v>
      </c>
      <c r="BJ91" s="49">
        <v>2718.7038012899993</v>
      </c>
      <c r="BK91" s="49">
        <v>2885</v>
      </c>
      <c r="BL91" s="49">
        <v>3023</v>
      </c>
      <c r="BM91" s="49">
        <v>3596</v>
      </c>
      <c r="BN91" s="49">
        <v>4056</v>
      </c>
      <c r="BO91" s="49">
        <v>4463.4796844599978</v>
      </c>
      <c r="BP91" s="49">
        <v>4656.2068306800011</v>
      </c>
      <c r="BQ91" s="49">
        <v>4994</v>
      </c>
      <c r="BR91" s="49">
        <v>5283.724031180006</v>
      </c>
      <c r="BS91" s="49">
        <v>5484</v>
      </c>
      <c r="BT91" s="49">
        <v>5652</v>
      </c>
      <c r="BU91" s="49">
        <v>5760</v>
      </c>
      <c r="BV91" s="49">
        <v>5983.6999949299998</v>
      </c>
      <c r="BW91" s="50">
        <v>6284.2661864199999</v>
      </c>
      <c r="BX91" s="50">
        <v>6741.2013358000004</v>
      </c>
      <c r="BY91" s="50">
        <v>7215.5295661999999</v>
      </c>
      <c r="BZ91" s="49">
        <v>7951.6359658700003</v>
      </c>
      <c r="CA91" s="49">
        <v>8387.0553666399992</v>
      </c>
      <c r="CB91" s="49">
        <v>8639.6013132900007</v>
      </c>
      <c r="CC91" s="394">
        <v>8833.10875717001</v>
      </c>
      <c r="CD91" s="394">
        <v>9324.2327087400099</v>
      </c>
      <c r="CE91" s="453">
        <v>9601.2577637199993</v>
      </c>
      <c r="CR91" s="263"/>
    </row>
    <row r="92" spans="1:96" x14ac:dyDescent="0.2">
      <c r="A92" s="47" t="s">
        <v>131</v>
      </c>
      <c r="B92" s="259"/>
      <c r="C92" s="49" t="s">
        <v>53</v>
      </c>
      <c r="D92" s="49" t="s">
        <v>53</v>
      </c>
      <c r="E92" s="49" t="s">
        <v>53</v>
      </c>
      <c r="F92" s="49" t="s">
        <v>53</v>
      </c>
      <c r="G92" s="49" t="s">
        <v>53</v>
      </c>
      <c r="H92" s="49" t="s">
        <v>53</v>
      </c>
      <c r="I92" s="49" t="s">
        <v>53</v>
      </c>
      <c r="J92" s="49" t="s">
        <v>53</v>
      </c>
      <c r="K92" s="49" t="s">
        <v>53</v>
      </c>
      <c r="L92" s="49" t="s">
        <v>53</v>
      </c>
      <c r="M92" s="49" t="s">
        <v>53</v>
      </c>
      <c r="N92" s="49" t="s">
        <v>53</v>
      </c>
      <c r="O92" s="49" t="s">
        <v>53</v>
      </c>
      <c r="P92" s="49" t="s">
        <v>53</v>
      </c>
      <c r="Q92" s="49" t="s">
        <v>53</v>
      </c>
      <c r="R92" s="49" t="s">
        <v>53</v>
      </c>
      <c r="S92" s="49" t="s">
        <v>53</v>
      </c>
      <c r="T92" s="49" t="s">
        <v>53</v>
      </c>
      <c r="U92" s="49" t="s">
        <v>53</v>
      </c>
      <c r="V92" s="49" t="s">
        <v>53</v>
      </c>
      <c r="W92" s="49" t="s">
        <v>53</v>
      </c>
      <c r="X92" s="49" t="s">
        <v>53</v>
      </c>
      <c r="Y92" s="49" t="s">
        <v>53</v>
      </c>
      <c r="Z92" s="49" t="s">
        <v>53</v>
      </c>
      <c r="AA92" s="49" t="s">
        <v>53</v>
      </c>
      <c r="AB92" s="49" t="s">
        <v>53</v>
      </c>
      <c r="AC92" s="49" t="s">
        <v>53</v>
      </c>
      <c r="AD92" s="49" t="s">
        <v>53</v>
      </c>
      <c r="AE92" s="49" t="s">
        <v>53</v>
      </c>
      <c r="AF92" s="49" t="s">
        <v>53</v>
      </c>
      <c r="AG92" s="49" t="s">
        <v>53</v>
      </c>
      <c r="AH92" s="49" t="s">
        <v>53</v>
      </c>
      <c r="AI92" s="49" t="s">
        <v>53</v>
      </c>
      <c r="AJ92" s="49" t="s">
        <v>53</v>
      </c>
      <c r="AK92" s="49" t="s">
        <v>53</v>
      </c>
      <c r="AL92" s="49" t="s">
        <v>53</v>
      </c>
      <c r="AM92" s="49" t="s">
        <v>53</v>
      </c>
      <c r="AN92" s="49" t="s">
        <v>53</v>
      </c>
      <c r="AO92" s="49" t="s">
        <v>53</v>
      </c>
      <c r="AP92" s="49" t="s">
        <v>53</v>
      </c>
      <c r="AQ92" s="49" t="s">
        <v>53</v>
      </c>
      <c r="AR92" s="49" t="s">
        <v>53</v>
      </c>
      <c r="AS92" s="49" t="s">
        <v>53</v>
      </c>
      <c r="AT92" s="49" t="s">
        <v>53</v>
      </c>
      <c r="AU92" s="49" t="s">
        <v>53</v>
      </c>
      <c r="AV92" s="49" t="s">
        <v>53</v>
      </c>
      <c r="AW92" s="49" t="s">
        <v>53</v>
      </c>
      <c r="AX92" s="49" t="s">
        <v>53</v>
      </c>
      <c r="AY92" s="49" t="s">
        <v>53</v>
      </c>
      <c r="AZ92" s="49" t="s">
        <v>53</v>
      </c>
      <c r="BA92" s="49" t="s">
        <v>53</v>
      </c>
      <c r="BB92" s="49" t="s">
        <v>53</v>
      </c>
      <c r="BC92" s="49" t="s">
        <v>53</v>
      </c>
      <c r="BD92" s="49" t="s">
        <v>53</v>
      </c>
      <c r="BE92" s="49" t="s">
        <v>53</v>
      </c>
      <c r="BF92" s="49" t="s">
        <v>53</v>
      </c>
      <c r="BG92" s="49" t="s">
        <v>53</v>
      </c>
      <c r="BH92" s="49" t="s">
        <v>53</v>
      </c>
      <c r="BI92" s="49" t="s">
        <v>53</v>
      </c>
      <c r="BJ92" s="49" t="s">
        <v>53</v>
      </c>
      <c r="BK92" s="49" t="s">
        <v>53</v>
      </c>
      <c r="BL92" s="49" t="s">
        <v>53</v>
      </c>
      <c r="BM92" s="49" t="s">
        <v>53</v>
      </c>
      <c r="BN92" s="49" t="s">
        <v>53</v>
      </c>
      <c r="BO92" s="49" t="s">
        <v>53</v>
      </c>
      <c r="BP92" s="49" t="s">
        <v>53</v>
      </c>
      <c r="BQ92" s="49" t="s">
        <v>53</v>
      </c>
      <c r="BR92" s="49" t="s">
        <v>53</v>
      </c>
      <c r="BS92" s="49">
        <v>630</v>
      </c>
      <c r="BT92" s="49">
        <v>2016</v>
      </c>
      <c r="BU92" s="49">
        <v>2885.3141879999998</v>
      </c>
      <c r="BV92" s="49">
        <v>4209.5469830000002</v>
      </c>
      <c r="BW92" s="50">
        <v>7049.510663</v>
      </c>
      <c r="BX92" s="50">
        <v>7892.1289189999998</v>
      </c>
      <c r="BY92" s="50">
        <v>9201.4569260000007</v>
      </c>
      <c r="BZ92" s="49">
        <v>9843.8792489999996</v>
      </c>
      <c r="CA92" s="49">
        <v>10419.189439</v>
      </c>
      <c r="CB92" s="49">
        <v>11178.333452999999</v>
      </c>
      <c r="CC92" s="394">
        <v>12191.346045</v>
      </c>
      <c r="CD92" s="394">
        <v>13556.053301</v>
      </c>
      <c r="CE92" s="453">
        <v>15461.631775</v>
      </c>
      <c r="CR92" s="263"/>
    </row>
    <row r="93" spans="1:96" s="31" customFormat="1" ht="15" x14ac:dyDescent="0.2">
      <c r="A93" s="256" t="s">
        <v>204</v>
      </c>
      <c r="B93" s="260"/>
      <c r="C93" s="255">
        <f t="shared" ref="C93:AH93" si="67">SUM(C89,C92)</f>
        <v>91.8</v>
      </c>
      <c r="D93" s="255">
        <f t="shared" si="67"/>
        <v>86.5</v>
      </c>
      <c r="E93" s="255">
        <f t="shared" si="67"/>
        <v>155</v>
      </c>
      <c r="F93" s="255">
        <f t="shared" si="67"/>
        <v>214.4</v>
      </c>
      <c r="G93" s="255">
        <f t="shared" si="67"/>
        <v>281.2</v>
      </c>
      <c r="H93" s="255">
        <f t="shared" si="67"/>
        <v>191.7</v>
      </c>
      <c r="I93" s="255">
        <f t="shared" si="67"/>
        <v>179.6</v>
      </c>
      <c r="J93" s="255">
        <f t="shared" si="67"/>
        <v>247.9</v>
      </c>
      <c r="K93" s="255">
        <f t="shared" si="67"/>
        <v>237.1</v>
      </c>
      <c r="L93" s="255">
        <f t="shared" si="67"/>
        <v>267.89999999999998</v>
      </c>
      <c r="M93" s="255">
        <f t="shared" si="67"/>
        <v>413.5</v>
      </c>
      <c r="N93" s="255">
        <f t="shared" si="67"/>
        <v>491.2</v>
      </c>
      <c r="O93" s="255">
        <f t="shared" si="67"/>
        <v>707.1</v>
      </c>
      <c r="P93" s="255">
        <f t="shared" si="67"/>
        <v>894.6</v>
      </c>
      <c r="Q93" s="255">
        <f t="shared" si="67"/>
        <v>881.5</v>
      </c>
      <c r="R93" s="255">
        <f t="shared" si="67"/>
        <v>1100</v>
      </c>
      <c r="S93" s="255">
        <f t="shared" si="67"/>
        <v>1281.5</v>
      </c>
      <c r="T93" s="255">
        <f t="shared" si="67"/>
        <v>1241.0999999999999</v>
      </c>
      <c r="U93" s="255">
        <f t="shared" si="67"/>
        <v>1607.6</v>
      </c>
      <c r="V93" s="255">
        <f t="shared" si="67"/>
        <v>2052.4</v>
      </c>
      <c r="W93" s="255">
        <f t="shared" si="67"/>
        <v>2369.1999999999998</v>
      </c>
      <c r="X93" s="255">
        <f t="shared" si="67"/>
        <v>1893.7</v>
      </c>
      <c r="Y93" s="255">
        <f t="shared" si="67"/>
        <v>2015.4</v>
      </c>
      <c r="Z93" s="255">
        <f t="shared" si="67"/>
        <v>2290.3000000000002</v>
      </c>
      <c r="AA93" s="255">
        <f t="shared" si="67"/>
        <v>2206.9</v>
      </c>
      <c r="AB93" s="255">
        <f t="shared" si="67"/>
        <v>2230</v>
      </c>
      <c r="AC93" s="255">
        <f t="shared" si="67"/>
        <v>2260</v>
      </c>
      <c r="AD93" s="255">
        <f t="shared" si="67"/>
        <v>2301</v>
      </c>
      <c r="AE93" s="255">
        <f t="shared" si="67"/>
        <v>2370</v>
      </c>
      <c r="AF93" s="255">
        <f t="shared" si="67"/>
        <v>2328</v>
      </c>
      <c r="AG93" s="255">
        <f t="shared" si="67"/>
        <v>1832</v>
      </c>
      <c r="AH93" s="255">
        <f t="shared" si="67"/>
        <v>1253</v>
      </c>
      <c r="AI93" s="255">
        <f t="shared" ref="AI93:BN93" si="68">SUM(AI89,AI92)</f>
        <v>1497</v>
      </c>
      <c r="AJ93" s="255">
        <f t="shared" si="68"/>
        <v>1997</v>
      </c>
      <c r="AK93" s="255">
        <f t="shared" si="68"/>
        <v>2608</v>
      </c>
      <c r="AL93" s="255">
        <f t="shared" si="68"/>
        <v>3125</v>
      </c>
      <c r="AM93" s="255">
        <f t="shared" si="68"/>
        <v>3774</v>
      </c>
      <c r="AN93" s="255">
        <f t="shared" si="68"/>
        <v>3840</v>
      </c>
      <c r="AO93" s="255">
        <f t="shared" si="68"/>
        <v>3892</v>
      </c>
      <c r="AP93" s="255">
        <f t="shared" si="68"/>
        <v>3861</v>
      </c>
      <c r="AQ93" s="255">
        <f t="shared" si="68"/>
        <v>4667</v>
      </c>
      <c r="AR93" s="255">
        <f t="shared" si="68"/>
        <v>4050</v>
      </c>
      <c r="AS93" s="255">
        <f t="shared" si="68"/>
        <v>2819</v>
      </c>
      <c r="AT93" s="255">
        <f t="shared" si="68"/>
        <v>2557</v>
      </c>
      <c r="AU93" s="255">
        <f t="shared" si="68"/>
        <v>3246</v>
      </c>
      <c r="AV93" s="255">
        <f t="shared" si="68"/>
        <v>2695</v>
      </c>
      <c r="AW93" s="255">
        <f t="shared" si="68"/>
        <v>2778</v>
      </c>
      <c r="AX93" s="255">
        <f t="shared" si="68"/>
        <v>2861</v>
      </c>
      <c r="AY93" s="255">
        <f t="shared" si="68"/>
        <v>3072</v>
      </c>
      <c r="AZ93" s="255">
        <f t="shared" si="68"/>
        <v>2912</v>
      </c>
      <c r="BA93" s="255">
        <f t="shared" si="68"/>
        <v>3130</v>
      </c>
      <c r="BB93" s="255">
        <f t="shared" si="68"/>
        <v>3286</v>
      </c>
      <c r="BC93" s="255">
        <f t="shared" si="68"/>
        <v>4075</v>
      </c>
      <c r="BD93" s="255">
        <f t="shared" si="68"/>
        <v>4496</v>
      </c>
      <c r="BE93" s="255">
        <f t="shared" si="68"/>
        <v>4925</v>
      </c>
      <c r="BF93" s="255">
        <f t="shared" si="68"/>
        <v>5348.72024297998</v>
      </c>
      <c r="BG93" s="255">
        <f t="shared" si="68"/>
        <v>5822</v>
      </c>
      <c r="BH93" s="255">
        <f t="shared" si="68"/>
        <v>5747</v>
      </c>
      <c r="BI93" s="255">
        <f t="shared" si="68"/>
        <v>5879</v>
      </c>
      <c r="BJ93" s="255">
        <f t="shared" si="68"/>
        <v>6540.2121438000004</v>
      </c>
      <c r="BK93" s="255">
        <f t="shared" si="68"/>
        <v>6688.5912854099997</v>
      </c>
      <c r="BL93" s="255">
        <f t="shared" si="68"/>
        <v>6622</v>
      </c>
      <c r="BM93" s="255">
        <f t="shared" si="68"/>
        <v>7518</v>
      </c>
      <c r="BN93" s="255">
        <f t="shared" si="68"/>
        <v>8183</v>
      </c>
      <c r="BO93" s="255">
        <f t="shared" ref="BO93:BT93" si="69">SUM(BO89,BO92)</f>
        <v>8757</v>
      </c>
      <c r="BP93" s="255">
        <f t="shared" si="69"/>
        <v>8768.3406854599998</v>
      </c>
      <c r="BQ93" s="255">
        <f t="shared" si="69"/>
        <v>8928</v>
      </c>
      <c r="BR93" s="255">
        <f t="shared" si="69"/>
        <v>9514.5441704100012</v>
      </c>
      <c r="BS93" s="255">
        <f t="shared" si="69"/>
        <v>10416</v>
      </c>
      <c r="BT93" s="255">
        <f t="shared" si="69"/>
        <v>11902.109</v>
      </c>
      <c r="BU93" s="255">
        <f t="shared" ref="BU93:BZ93" si="70">SUM(BU89,BU92)</f>
        <v>13024.673709000001</v>
      </c>
      <c r="BV93" s="255">
        <f t="shared" si="70"/>
        <v>14559.866983</v>
      </c>
      <c r="BW93" s="254">
        <f t="shared" si="70"/>
        <v>18146.413067959998</v>
      </c>
      <c r="BX93" s="254">
        <f t="shared" si="70"/>
        <v>19236.926228379998</v>
      </c>
      <c r="BY93" s="254">
        <f t="shared" si="70"/>
        <v>21193.498784310003</v>
      </c>
      <c r="BZ93" s="255">
        <f t="shared" si="70"/>
        <v>22959.867796999999</v>
      </c>
      <c r="CA93" s="255">
        <f>SUM(CA89,CA92)</f>
        <v>23091.307288550001</v>
      </c>
      <c r="CB93" s="255">
        <f>SUM(CB89,CB92)</f>
        <v>25187.765915259999</v>
      </c>
      <c r="CC93" s="410">
        <f>SUM(CC89,CC92)</f>
        <v>27309.335110209999</v>
      </c>
      <c r="CD93" s="410">
        <f>SUM(CD89,CD92)</f>
        <v>29854.2080484</v>
      </c>
      <c r="CE93" s="375">
        <f>SUM(CE89,CE92)</f>
        <v>32888.806925680001</v>
      </c>
      <c r="CF93" s="356"/>
      <c r="CG93"/>
      <c r="CH93"/>
      <c r="CR93" s="263"/>
    </row>
    <row r="94" spans="1:96" x14ac:dyDescent="0.2">
      <c r="A94" s="11"/>
      <c r="B94" s="1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3"/>
      <c r="AD94" s="33"/>
      <c r="AE94" s="33"/>
      <c r="AF94" s="33"/>
      <c r="AG94" s="33"/>
      <c r="AH94" s="33"/>
      <c r="AI94" s="33"/>
      <c r="AJ94" s="32"/>
      <c r="AK94" s="7"/>
      <c r="AL94" s="32"/>
      <c r="AM94" s="33"/>
      <c r="AN94" s="32"/>
      <c r="AO94" s="32"/>
      <c r="AP94" s="32"/>
      <c r="AQ94" s="32"/>
      <c r="AR94" s="32"/>
      <c r="AS94" s="7"/>
      <c r="AT94" s="33"/>
      <c r="AU94" s="33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3"/>
      <c r="BJ94" s="32"/>
      <c r="BK94" s="32"/>
      <c r="BL94" s="32"/>
      <c r="BM94" s="32"/>
      <c r="BN94" s="32"/>
      <c r="BO94" s="32"/>
      <c r="BP94" s="7"/>
      <c r="BQ94" s="32"/>
      <c r="BR94" s="7"/>
      <c r="BS94" s="32"/>
      <c r="BT94" s="32"/>
      <c r="BU94" s="32"/>
      <c r="BV94" s="32"/>
      <c r="BW94" s="33"/>
      <c r="BX94" s="33"/>
      <c r="BY94" s="33"/>
      <c r="BZ94" s="32"/>
      <c r="CA94" s="32"/>
      <c r="CB94" s="32"/>
      <c r="CC94" s="392"/>
      <c r="CD94" s="392"/>
      <c r="CE94" s="361"/>
      <c r="CR94" s="263"/>
    </row>
    <row r="95" spans="1:96" x14ac:dyDescent="0.2">
      <c r="A95" s="304" t="s">
        <v>166</v>
      </c>
      <c r="B95" s="1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3"/>
      <c r="AD95" s="33"/>
      <c r="AE95" s="33"/>
      <c r="AF95" s="33"/>
      <c r="AG95" s="33"/>
      <c r="AH95" s="33"/>
      <c r="AI95" s="33"/>
      <c r="AJ95" s="32"/>
      <c r="AK95" s="7"/>
      <c r="AL95" s="32"/>
      <c r="AM95" s="33"/>
      <c r="AN95" s="32"/>
      <c r="AO95" s="32"/>
      <c r="AP95" s="32"/>
      <c r="AQ95" s="32"/>
      <c r="AR95" s="32"/>
      <c r="AS95" s="7"/>
      <c r="AT95" s="33"/>
      <c r="AU95" s="33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3"/>
      <c r="BJ95" s="32"/>
      <c r="BK95" s="32"/>
      <c r="BL95" s="32"/>
      <c r="BM95" s="32"/>
      <c r="BN95" s="32"/>
      <c r="BO95" s="32"/>
      <c r="BP95" s="7"/>
      <c r="BQ95" s="32"/>
      <c r="BR95" s="7"/>
      <c r="BS95" s="32"/>
      <c r="BT95" s="32"/>
      <c r="BU95" s="32"/>
      <c r="BV95" s="32"/>
      <c r="BW95" s="33"/>
      <c r="BX95" s="33"/>
      <c r="BY95" s="33"/>
      <c r="BZ95" s="32"/>
      <c r="CA95" s="32"/>
      <c r="CB95" s="32"/>
      <c r="CC95" s="392"/>
      <c r="CD95" s="392"/>
      <c r="CE95" s="361"/>
      <c r="CR95" s="263"/>
    </row>
    <row r="96" spans="1:96" x14ac:dyDescent="0.2">
      <c r="A96" s="47" t="s">
        <v>184</v>
      </c>
      <c r="B96" s="129"/>
      <c r="C96" s="340">
        <f t="shared" ref="C96:BN96" si="71">+C75/C78</f>
        <v>2.0774153804031623E-2</v>
      </c>
      <c r="D96" s="340">
        <f t="shared" si="71"/>
        <v>3.1060152305981005E-2</v>
      </c>
      <c r="E96" s="340">
        <f t="shared" si="71"/>
        <v>0.13290560142825261</v>
      </c>
      <c r="F96" s="340">
        <f t="shared" si="71"/>
        <v>0.14290040063356005</v>
      </c>
      <c r="G96" s="340">
        <f t="shared" si="71"/>
        <v>0.1229908920439325</v>
      </c>
      <c r="H96" s="340">
        <f t="shared" si="71"/>
        <v>0.15287608340568301</v>
      </c>
      <c r="I96" s="340">
        <f t="shared" si="71"/>
        <v>0.16720364403955115</v>
      </c>
      <c r="J96" s="340">
        <f t="shared" si="71"/>
        <v>0.15241135695177288</v>
      </c>
      <c r="K96" s="340">
        <f t="shared" si="71"/>
        <v>0.16340129593603039</v>
      </c>
      <c r="L96" s="340">
        <f t="shared" si="71"/>
        <v>0.15194604185279795</v>
      </c>
      <c r="M96" s="340">
        <f t="shared" si="71"/>
        <v>0.1349680283253184</v>
      </c>
      <c r="N96" s="340">
        <f t="shared" si="71"/>
        <v>0.12736849424608004</v>
      </c>
      <c r="O96" s="340">
        <f t="shared" si="71"/>
        <v>0.11356354330330495</v>
      </c>
      <c r="P96" s="340">
        <f t="shared" si="71"/>
        <v>0.11055586970529832</v>
      </c>
      <c r="Q96" s="340">
        <f t="shared" si="71"/>
        <v>0.11879772542648254</v>
      </c>
      <c r="R96" s="340">
        <f t="shared" si="71"/>
        <v>0.10206334527800255</v>
      </c>
      <c r="S96" s="340">
        <f t="shared" si="71"/>
        <v>9.5605827195228879E-2</v>
      </c>
      <c r="T96" s="340">
        <f t="shared" si="71"/>
        <v>0.12271501997867786</v>
      </c>
      <c r="U96" s="340">
        <f t="shared" si="71"/>
        <v>0.11442037742186331</v>
      </c>
      <c r="V96" s="340">
        <f t="shared" si="71"/>
        <v>0.11065438742371232</v>
      </c>
      <c r="W96" s="340">
        <f t="shared" si="71"/>
        <v>0.10631943799709097</v>
      </c>
      <c r="X96" s="340">
        <f t="shared" si="71"/>
        <v>0.14242775886012135</v>
      </c>
      <c r="Y96" s="340">
        <f t="shared" si="71"/>
        <v>0.12849164862988524</v>
      </c>
      <c r="Z96" s="340">
        <f t="shared" si="71"/>
        <v>0.11599637120068886</v>
      </c>
      <c r="AA96" s="340">
        <f t="shared" si="71"/>
        <v>0.1219270416240827</v>
      </c>
      <c r="AB96" s="340">
        <f t="shared" si="71"/>
        <v>0.13007700787037393</v>
      </c>
      <c r="AC96" s="340">
        <f t="shared" si="71"/>
        <v>0.13388797523459417</v>
      </c>
      <c r="AD96" s="340">
        <f t="shared" si="71"/>
        <v>0.1468830414211007</v>
      </c>
      <c r="AE96" s="340">
        <f t="shared" si="71"/>
        <v>0.15287520521950493</v>
      </c>
      <c r="AF96" s="340">
        <f t="shared" si="71"/>
        <v>0.16359331899828414</v>
      </c>
      <c r="AG96" s="340">
        <f t="shared" si="71"/>
        <v>0.18190563105838245</v>
      </c>
      <c r="AH96" s="340">
        <f t="shared" si="71"/>
        <v>0.22307886039653055</v>
      </c>
      <c r="AI96" s="340">
        <f t="shared" si="71"/>
        <v>0.20132080784293649</v>
      </c>
      <c r="AJ96" s="340">
        <f t="shared" si="71"/>
        <v>0.17136752136752137</v>
      </c>
      <c r="AK96" s="340">
        <f t="shared" si="71"/>
        <v>0.14997578524975785</v>
      </c>
      <c r="AL96" s="340">
        <f t="shared" si="71"/>
        <v>0.13993449544417366</v>
      </c>
      <c r="AM96" s="340">
        <f t="shared" si="71"/>
        <v>0.12436605960043355</v>
      </c>
      <c r="AN96" s="340">
        <f t="shared" si="71"/>
        <v>0.1366280665166566</v>
      </c>
      <c r="AO96" s="340">
        <f t="shared" si="71"/>
        <v>0.13694441967413598</v>
      </c>
      <c r="AP96" s="340">
        <f t="shared" si="71"/>
        <v>0.13668805085633784</v>
      </c>
      <c r="AQ96" s="340">
        <f t="shared" si="71"/>
        <v>0.1131393696363456</v>
      </c>
      <c r="AR96" s="340">
        <f t="shared" si="71"/>
        <v>0.13324873096446702</v>
      </c>
      <c r="AS96" s="340">
        <f t="shared" si="71"/>
        <v>0.19062850269280188</v>
      </c>
      <c r="AT96" s="340">
        <f t="shared" si="71"/>
        <v>0.1912557630694694</v>
      </c>
      <c r="AU96" s="340">
        <f t="shared" si="71"/>
        <v>0.15837788407428249</v>
      </c>
      <c r="AV96" s="340">
        <f t="shared" si="71"/>
        <v>0.1796716722124676</v>
      </c>
      <c r="AW96" s="340">
        <f t="shared" si="71"/>
        <v>0.17690053317326365</v>
      </c>
      <c r="AX96" s="340">
        <f t="shared" si="71"/>
        <v>0.17173984143274426</v>
      </c>
      <c r="AY96" s="340">
        <f t="shared" si="71"/>
        <v>0.15537100971457601</v>
      </c>
      <c r="AZ96" s="340">
        <f t="shared" si="71"/>
        <v>0.16818950930626059</v>
      </c>
      <c r="BA96" s="340">
        <f t="shared" si="71"/>
        <v>0.15671683182961099</v>
      </c>
      <c r="BB96" s="340">
        <f t="shared" si="71"/>
        <v>0.15185469738693555</v>
      </c>
      <c r="BC96" s="340">
        <f t="shared" si="71"/>
        <v>0.14400756053590857</v>
      </c>
      <c r="BD96" s="340">
        <f t="shared" si="71"/>
        <v>0.14152001604552175</v>
      </c>
      <c r="BE96" s="340">
        <f t="shared" si="71"/>
        <v>0.1378355516675463</v>
      </c>
      <c r="BF96" s="340">
        <f t="shared" si="71"/>
        <v>0.15367645634011973</v>
      </c>
      <c r="BG96" s="340">
        <f t="shared" si="71"/>
        <v>0.15035766612083082</v>
      </c>
      <c r="BH96" s="340">
        <f t="shared" si="71"/>
        <v>0.17941293588941351</v>
      </c>
      <c r="BI96" s="340">
        <f t="shared" si="71"/>
        <v>0.17843318732672506</v>
      </c>
      <c r="BJ96" s="340">
        <f t="shared" si="71"/>
        <v>0.15280049740981941</v>
      </c>
      <c r="BK96" s="340">
        <f t="shared" si="71"/>
        <v>0.16607958186910909</v>
      </c>
      <c r="BL96" s="340">
        <f t="shared" si="71"/>
        <v>0.16958695029121876</v>
      </c>
      <c r="BM96" s="340">
        <f t="shared" si="71"/>
        <v>0.14989931779124066</v>
      </c>
      <c r="BN96" s="340">
        <f t="shared" si="71"/>
        <v>0.14614564385623785</v>
      </c>
      <c r="BO96" s="340">
        <f t="shared" ref="BO96:BX96" si="72">+BO75/BO78</f>
        <v>0.13755706827516129</v>
      </c>
      <c r="BP96" s="340">
        <f t="shared" si="72"/>
        <v>0.14917901261664682</v>
      </c>
      <c r="BQ96" s="340">
        <f t="shared" si="72"/>
        <v>0.15125745461903506</v>
      </c>
      <c r="BR96" s="340">
        <f t="shared" si="72"/>
        <v>0.15285498182523169</v>
      </c>
      <c r="BS96" s="340">
        <f t="shared" si="72"/>
        <v>0.15483459810682285</v>
      </c>
      <c r="BT96" s="340">
        <f t="shared" si="72"/>
        <v>0.15499291209631993</v>
      </c>
      <c r="BU96" s="340">
        <f t="shared" si="72"/>
        <v>0.1528550058522665</v>
      </c>
      <c r="BV96" s="340">
        <f t="shared" si="72"/>
        <v>0.19299147355184201</v>
      </c>
      <c r="BW96" s="340">
        <f t="shared" si="72"/>
        <v>0.16960067151312821</v>
      </c>
      <c r="BX96" s="340">
        <f t="shared" si="72"/>
        <v>0.16698490475254613</v>
      </c>
      <c r="BY96" s="340">
        <f t="shared" ref="BY96:CD96" si="73">+BY75/BY78</f>
        <v>0.16516227885119766</v>
      </c>
      <c r="BZ96" s="340">
        <f t="shared" si="73"/>
        <v>0.15395414975323699</v>
      </c>
      <c r="CA96" s="340">
        <f t="shared" si="73"/>
        <v>0.22905883094828289</v>
      </c>
      <c r="CB96" s="340">
        <f t="shared" si="73"/>
        <v>0.17832030255098896</v>
      </c>
      <c r="CC96" s="340">
        <f t="shared" si="73"/>
        <v>0.14785140035892738</v>
      </c>
      <c r="CD96" s="340">
        <f t="shared" si="73"/>
        <v>0.13593362801537026</v>
      </c>
      <c r="CE96" s="369">
        <f t="shared" ref="CE96" si="74">+CE75/CE78</f>
        <v>0.12509977730625282</v>
      </c>
      <c r="CR96" s="263"/>
    </row>
    <row r="97" spans="1:96" x14ac:dyDescent="0.2">
      <c r="A97" s="47" t="s">
        <v>135</v>
      </c>
      <c r="B97" s="129"/>
      <c r="C97" s="134">
        <f t="shared" ref="C97:AH97" si="75">C33/C89</f>
        <v>0</v>
      </c>
      <c r="D97" s="134">
        <f t="shared" si="75"/>
        <v>0</v>
      </c>
      <c r="E97" s="134">
        <f t="shared" si="75"/>
        <v>0</v>
      </c>
      <c r="F97" s="134">
        <f t="shared" si="75"/>
        <v>0</v>
      </c>
      <c r="G97" s="134">
        <f t="shared" si="75"/>
        <v>0</v>
      </c>
      <c r="H97" s="134">
        <f t="shared" si="75"/>
        <v>-5.2164840897235272E-4</v>
      </c>
      <c r="I97" s="134">
        <f t="shared" si="75"/>
        <v>5.5679287305122503E-4</v>
      </c>
      <c r="J97" s="134">
        <f t="shared" si="75"/>
        <v>-4.0338846308995562E-4</v>
      </c>
      <c r="K97" s="134">
        <f t="shared" si="75"/>
        <v>0</v>
      </c>
      <c r="L97" s="134">
        <f t="shared" si="75"/>
        <v>0</v>
      </c>
      <c r="M97" s="134">
        <f t="shared" si="75"/>
        <v>0</v>
      </c>
      <c r="N97" s="134">
        <f t="shared" si="75"/>
        <v>0</v>
      </c>
      <c r="O97" s="134">
        <f t="shared" si="75"/>
        <v>0</v>
      </c>
      <c r="P97" s="134">
        <f t="shared" si="75"/>
        <v>0</v>
      </c>
      <c r="Q97" s="134">
        <f t="shared" si="75"/>
        <v>0</v>
      </c>
      <c r="R97" s="134">
        <f t="shared" si="75"/>
        <v>0</v>
      </c>
      <c r="S97" s="134">
        <f t="shared" si="75"/>
        <v>0</v>
      </c>
      <c r="T97" s="134">
        <f t="shared" si="75"/>
        <v>0</v>
      </c>
      <c r="U97" s="134">
        <f t="shared" si="75"/>
        <v>0</v>
      </c>
      <c r="V97" s="134">
        <f t="shared" si="75"/>
        <v>4.8723445722081464E-5</v>
      </c>
      <c r="W97" s="134">
        <f t="shared" si="75"/>
        <v>0</v>
      </c>
      <c r="X97" s="134">
        <f t="shared" si="75"/>
        <v>0</v>
      </c>
      <c r="Y97" s="134">
        <f t="shared" si="75"/>
        <v>0</v>
      </c>
      <c r="Z97" s="134">
        <f t="shared" si="75"/>
        <v>0</v>
      </c>
      <c r="AA97" s="134">
        <f t="shared" si="75"/>
        <v>-2.2656214599664688E-4</v>
      </c>
      <c r="AB97" s="134">
        <f t="shared" si="75"/>
        <v>0</v>
      </c>
      <c r="AC97" s="134">
        <f t="shared" si="75"/>
        <v>0</v>
      </c>
      <c r="AD97" s="134">
        <f t="shared" si="75"/>
        <v>-4.1286397218600609E-4</v>
      </c>
      <c r="AE97" s="134">
        <f t="shared" si="75"/>
        <v>0</v>
      </c>
      <c r="AF97" s="134">
        <f t="shared" si="75"/>
        <v>0</v>
      </c>
      <c r="AG97" s="134">
        <f t="shared" si="75"/>
        <v>0</v>
      </c>
      <c r="AH97" s="134">
        <f t="shared" si="75"/>
        <v>0</v>
      </c>
      <c r="AI97" s="134">
        <f t="shared" ref="AI97:BN97" si="76">AI33/AI89</f>
        <v>0</v>
      </c>
      <c r="AJ97" s="134">
        <f t="shared" si="76"/>
        <v>0</v>
      </c>
      <c r="AK97" s="134">
        <f t="shared" si="76"/>
        <v>0</v>
      </c>
      <c r="AL97" s="134">
        <f t="shared" si="76"/>
        <v>0</v>
      </c>
      <c r="AM97" s="134">
        <f t="shared" si="76"/>
        <v>0</v>
      </c>
      <c r="AN97" s="134">
        <f t="shared" si="76"/>
        <v>0</v>
      </c>
      <c r="AO97" s="134">
        <f t="shared" si="76"/>
        <v>0</v>
      </c>
      <c r="AP97" s="134">
        <f t="shared" si="76"/>
        <v>0</v>
      </c>
      <c r="AQ97" s="134">
        <f t="shared" si="76"/>
        <v>0</v>
      </c>
      <c r="AR97" s="134">
        <f t="shared" si="76"/>
        <v>-1.4814814814814814E-3</v>
      </c>
      <c r="AS97" s="134">
        <f t="shared" si="76"/>
        <v>0</v>
      </c>
      <c r="AT97" s="134">
        <f t="shared" si="76"/>
        <v>0</v>
      </c>
      <c r="AU97" s="134">
        <f t="shared" si="76"/>
        <v>0</v>
      </c>
      <c r="AV97" s="134">
        <f t="shared" si="76"/>
        <v>0</v>
      </c>
      <c r="AW97" s="134">
        <f t="shared" si="76"/>
        <v>-3.5997120230381568E-4</v>
      </c>
      <c r="AX97" s="134">
        <f t="shared" si="76"/>
        <v>0</v>
      </c>
      <c r="AY97" s="134">
        <f t="shared" si="76"/>
        <v>0</v>
      </c>
      <c r="AZ97" s="134">
        <f t="shared" si="76"/>
        <v>0</v>
      </c>
      <c r="BA97" s="134">
        <f t="shared" si="76"/>
        <v>0</v>
      </c>
      <c r="BB97" s="134">
        <f t="shared" si="76"/>
        <v>-3.0432136335970786E-4</v>
      </c>
      <c r="BC97" s="134">
        <f t="shared" si="76"/>
        <v>-2.45398773006135E-5</v>
      </c>
      <c r="BD97" s="134">
        <f t="shared" si="76"/>
        <v>-2.2241992882562279E-5</v>
      </c>
      <c r="BE97" s="134">
        <f t="shared" si="76"/>
        <v>2.0304568527918785E-5</v>
      </c>
      <c r="BF97" s="134">
        <f t="shared" si="76"/>
        <v>9.348030506105337E-5</v>
      </c>
      <c r="BG97" s="134">
        <f t="shared" si="76"/>
        <v>0</v>
      </c>
      <c r="BH97" s="134">
        <f t="shared" si="76"/>
        <v>0</v>
      </c>
      <c r="BI97" s="134">
        <f t="shared" si="76"/>
        <v>0</v>
      </c>
      <c r="BJ97" s="134">
        <f t="shared" si="76"/>
        <v>1.5290023901563828E-5</v>
      </c>
      <c r="BK97" s="134">
        <f t="shared" si="76"/>
        <v>-1.4950831308549626E-5</v>
      </c>
      <c r="BL97" s="134">
        <f t="shared" si="76"/>
        <v>-3.0202355783751134E-5</v>
      </c>
      <c r="BM97" s="134">
        <f t="shared" si="76"/>
        <v>-2.2612396914072894E-5</v>
      </c>
      <c r="BN97" s="134">
        <f t="shared" si="76"/>
        <v>0</v>
      </c>
      <c r="BO97" s="134">
        <f t="shared" ref="BO97:BZ97" si="77">BO33/BO89</f>
        <v>2.4551787141715197E-5</v>
      </c>
      <c r="BP97" s="134">
        <f t="shared" si="77"/>
        <v>7.9832664481293137E-6</v>
      </c>
      <c r="BQ97" s="134">
        <f t="shared" si="77"/>
        <v>8.960573476702509E-6</v>
      </c>
      <c r="BR97" s="134">
        <f t="shared" si="77"/>
        <v>0</v>
      </c>
      <c r="BS97" s="134">
        <f t="shared" si="77"/>
        <v>3.5969752707950128E-5</v>
      </c>
      <c r="BT97" s="134">
        <f t="shared" si="77"/>
        <v>-7.0806421414127633E-5</v>
      </c>
      <c r="BU97" s="134">
        <f t="shared" si="77"/>
        <v>-4.3197994813463519E-5</v>
      </c>
      <c r="BV97" s="134">
        <f t="shared" si="77"/>
        <v>-3.6147974168914588E-5</v>
      </c>
      <c r="BW97" s="330">
        <f t="shared" si="77"/>
        <v>-1.0646457514773994E-4</v>
      </c>
      <c r="BX97" s="330">
        <f t="shared" si="77"/>
        <v>1.4560203721174049E-4</v>
      </c>
      <c r="BY97" s="330">
        <f t="shared" si="77"/>
        <v>-3.7888963811875105E-5</v>
      </c>
      <c r="BZ97" s="134">
        <f t="shared" si="77"/>
        <v>2.3922576544780924E-5</v>
      </c>
      <c r="CA97" s="153">
        <f>CA33/CA89</f>
        <v>4.1238555086398396E-5</v>
      </c>
      <c r="CB97" s="134">
        <f>CB33/CB89</f>
        <v>-3.545795158641744E-4</v>
      </c>
      <c r="CC97" s="411">
        <f>CC33/CC89</f>
        <v>-2.7172626480153808E-5</v>
      </c>
      <c r="CD97" s="416">
        <f>CD33/CD89</f>
        <v>6.0389277513579337E-5</v>
      </c>
      <c r="CE97" s="462">
        <f>CE33/CE89</f>
        <v>8.2342017429256692E-5</v>
      </c>
      <c r="CR97" s="263"/>
    </row>
    <row r="98" spans="1:96" x14ac:dyDescent="0.2">
      <c r="A98" s="47" t="s">
        <v>49</v>
      </c>
      <c r="B98" s="278"/>
      <c r="C98" s="137">
        <v>2.1100000000000001E-2</v>
      </c>
      <c r="D98" s="137">
        <v>2.1299999999999999E-2</v>
      </c>
      <c r="E98" s="137">
        <v>2.24E-2</v>
      </c>
      <c r="F98" s="137">
        <v>1.54E-2</v>
      </c>
      <c r="G98" s="137">
        <v>1.49E-2</v>
      </c>
      <c r="H98" s="137">
        <v>1.6E-2</v>
      </c>
      <c r="I98" s="137">
        <v>1.4200000000000001E-2</v>
      </c>
      <c r="J98" s="137">
        <v>1.2500000000000001E-2</v>
      </c>
      <c r="K98" s="137">
        <v>0.01</v>
      </c>
      <c r="L98" s="137">
        <v>8.0999999999999996E-3</v>
      </c>
      <c r="M98" s="137">
        <v>5.4000000000000003E-3</v>
      </c>
      <c r="N98" s="137">
        <v>5.4000000000000003E-3</v>
      </c>
      <c r="O98" s="137">
        <v>5.4000000000000003E-3</v>
      </c>
      <c r="P98" s="137">
        <v>3.7000000000000002E-3</v>
      </c>
      <c r="Q98" s="137">
        <v>4.0000000000000001E-3</v>
      </c>
      <c r="R98" s="137">
        <v>4.7000000000000002E-3</v>
      </c>
      <c r="S98" s="137">
        <v>5.1999999999999998E-3</v>
      </c>
      <c r="T98" s="137">
        <v>5.7000000000000002E-3</v>
      </c>
      <c r="U98" s="137">
        <v>3.5000000000000001E-3</v>
      </c>
      <c r="V98" s="137">
        <v>3.3999999999999998E-3</v>
      </c>
      <c r="W98" s="137">
        <v>5.5999999999999999E-3</v>
      </c>
      <c r="X98" s="137">
        <v>7.4999999999999997E-3</v>
      </c>
      <c r="Y98" s="137">
        <v>9.4000000000000004E-3</v>
      </c>
      <c r="Z98" s="137">
        <v>1.35E-2</v>
      </c>
      <c r="AA98" s="137">
        <v>1.6799999999999999E-2</v>
      </c>
      <c r="AB98" s="137">
        <v>1.8599999999999998E-2</v>
      </c>
      <c r="AC98" s="138">
        <v>2.1000000000000001E-2</v>
      </c>
      <c r="AD98" s="138">
        <v>2.3E-2</v>
      </c>
      <c r="AE98" s="138">
        <v>2.5899999999999999E-2</v>
      </c>
      <c r="AF98" s="138">
        <v>2.9600000000000001E-2</v>
      </c>
      <c r="AG98" s="138">
        <v>3.2899999999999999E-2</v>
      </c>
      <c r="AH98" s="138">
        <v>2.2700000000000001E-2</v>
      </c>
      <c r="AI98" s="138">
        <v>7.9000000000000008E-3</v>
      </c>
      <c r="AJ98" s="137">
        <v>1.4E-3</v>
      </c>
      <c r="AK98" s="139">
        <v>1E-3</v>
      </c>
      <c r="AL98" s="137">
        <v>8.4999999999999995E-4</v>
      </c>
      <c r="AM98" s="138">
        <v>9.3999999999999997E-4</v>
      </c>
      <c r="AN98" s="137">
        <v>1.1100000000000001E-3</v>
      </c>
      <c r="AO98" s="137">
        <v>2.2000000000000001E-3</v>
      </c>
      <c r="AP98" s="137">
        <v>3.5999999999999999E-3</v>
      </c>
      <c r="AQ98" s="137">
        <v>5.1999999999999998E-3</v>
      </c>
      <c r="AR98" s="137">
        <v>7.4999999999999997E-3</v>
      </c>
      <c r="AS98" s="139">
        <v>9.4999999999999998E-3</v>
      </c>
      <c r="AT98" s="138">
        <v>8.8999999999999999E-3</v>
      </c>
      <c r="AU98" s="138">
        <v>7.1000000000000004E-3</v>
      </c>
      <c r="AV98" s="137">
        <v>6.6E-3</v>
      </c>
      <c r="AW98" s="137">
        <v>6.6E-3</v>
      </c>
      <c r="AX98" s="137">
        <f>+((15575-4660)/((((AW75-AW76)+(AX75-AX76))/2)*1000))*4</f>
        <v>3.8736580605092715E-3</v>
      </c>
      <c r="AY98" s="137">
        <f>+((11020-4016)/((((AX75-AX76)+(AY75-AY76))/2)*1000))*4</f>
        <v>2.5901169509545603E-3</v>
      </c>
      <c r="AZ98" s="137">
        <f>+((12039-4743)/((((AY75-AY76)+(AZ75-AZ76))/2)*1000))*4</f>
        <v>2.6476752097981402E-3</v>
      </c>
      <c r="BA98" s="137">
        <f>+((12617-5074)/((((AZ75-AZ76)+(BA75-BA76))/2)*1000))*4</f>
        <v>2.5319302485608312E-3</v>
      </c>
      <c r="BB98" s="137">
        <f>+((12410-5034)/((((BA75-BA76)+(BB75-BB76))/2)*1000))*4</f>
        <v>2.3410113384802153E-3</v>
      </c>
      <c r="BC98" s="137">
        <f>+((11406-6607)/((((BB75-BB76)+(BC75-BC76))/2)*1000))*4</f>
        <v>1.478036573628489E-3</v>
      </c>
      <c r="BD98" s="137">
        <f>+((13030-7887)/((((BC75-BC76)+(BD75-BD76))/2)*1000))*4</f>
        <v>1.5368295233826386E-3</v>
      </c>
      <c r="BE98" s="137">
        <f>+((9003-8462)/((((BD75-BD76)+(BE75-BE76))/2)*1000))*4</f>
        <v>1.5974605986786254E-4</v>
      </c>
      <c r="BF98" s="137">
        <f>+((9332-9442)/((((BE75-BE76)+(BF75-BF76))/2)*1000))*4</f>
        <v>-3.0002580093817964E-5</v>
      </c>
      <c r="BG98" s="137">
        <f>+((2010-1984)/((((BF75-BF76)+(BG75-BG76))/2)*1000))*4</f>
        <v>5.9374607049491191E-6</v>
      </c>
      <c r="BH98" s="137">
        <f>+((3015-2984)/((((BG75-BG76)+(BH75-BH76))/2)*1000))*4</f>
        <v>5.7345018151548082E-6</v>
      </c>
      <c r="BI98" s="138">
        <f>+((3585-3428)/((((BH75-BH76)+(BI75-BI76))/2)*1000))*4</f>
        <v>2.5989719024401659E-5</v>
      </c>
      <c r="BJ98" s="137">
        <f>+((3709-3651)/((((BI75-BI76)+(BJ75-BJ76))/2)*1000))*4</f>
        <v>9.8701524447884875E-6</v>
      </c>
      <c r="BK98" s="137">
        <f>+((3671-3576)/((((BJ75-BJ76)+(BK75-BK76))/2)*1000))*4</f>
        <v>1.6051635752401989E-5</v>
      </c>
      <c r="BL98" s="137">
        <f>+((4745-4703)/((((BK75-BK76)+(BL75-BL76))/2)*1000))*4</f>
        <v>6.5907446253872879E-6</v>
      </c>
      <c r="BM98" s="137">
        <f>+((5594-5623)/((((BL75-BL76)+(BM75-BM76))/2)*1000))*4</f>
        <v>-4.4186267974478619E-6</v>
      </c>
      <c r="BN98" s="137">
        <f>+((6255-6247)/((((BM75-BM76)+(BN75-BN76))/2)*1000))*4</f>
        <v>1.2210245158828579E-6</v>
      </c>
      <c r="BO98" s="137">
        <f>+((3811-3867)/((((BN75-BN76)+(BO75-BO76))/2)*1000))*4</f>
        <v>-8.4528108885946403E-6</v>
      </c>
      <c r="BP98" s="138">
        <f>+((5430-5446)/((((BO75-BO76)+(BP75-BP76))/2)*1000))*4</f>
        <v>-2.2576257962917933E-6</v>
      </c>
      <c r="BQ98" s="137">
        <f>+((6303-6339)/((((BP75-BP76)+(BQ75-BQ76))/2)*1000))*4</f>
        <v>-4.7116865894241997E-6</v>
      </c>
      <c r="BR98" s="137">
        <f>+((6525-6658)/((((BQ75-BQ76)+(BR75-BR76))/2)*1000))*4</f>
        <v>-1.7105107660219826E-5</v>
      </c>
      <c r="BS98" s="137">
        <f>+((5551-5600)/((((BR75-BR76)+(BS75-BS76))/2)*1000))*4</f>
        <v>-6.1935507623951724E-6</v>
      </c>
      <c r="BT98" s="137">
        <f>+((7217-7264)/((((BS75-BS76)+(BT75-BT76))/2)*1000))*4</f>
        <v>-5.6826779341676274E-6</v>
      </c>
      <c r="BU98" s="137">
        <f>+((7812-7997)/((((BT75-BT76)+(BU75-BU76))/2)*1000))*4</f>
        <v>-2.1222897431084396E-5</v>
      </c>
      <c r="BV98" s="137">
        <f>+((8914-9070)/((((BU75-BU76)+(BV75-BV76))/2)*1000))*4</f>
        <v>-1.6728483604150083E-5</v>
      </c>
      <c r="BW98" s="138">
        <f>+((6627-6662)/((((BV75-BV76)+(BW75-BW76))/2)*1000))*4</f>
        <v>-3.7034475287450273E-6</v>
      </c>
      <c r="BX98" s="138">
        <f>+((8403-8358)/((((BW75-BW76)+(BX75-BX76))/2)*1000))*4</f>
        <v>4.7456132259125467E-6</v>
      </c>
      <c r="BY98" s="138">
        <f>+((9210-9296)/((((BX75-BX76)+(BY75-BY76))/2)*1000))*4</f>
        <v>-8.6629613578684911E-6</v>
      </c>
      <c r="BZ98" s="137">
        <f>+((9765-9665)/((((BY75-BY76)+(BZ75-BZ76))/2)*1000))*4</f>
        <v>9.9388697173913622E-6</v>
      </c>
      <c r="CA98" s="137">
        <f>+((7512-7650)/((((BZ75-BZ76)+(CA75-CA76))/2)*1000))*4</f>
        <v>-1.0980003508568851E-5</v>
      </c>
      <c r="CB98" s="137">
        <f>+((10819-10914)/((((CA75-CA76)+(CB75-CB76))/2)*1000))*4</f>
        <v>-6.6612528726601752E-6</v>
      </c>
      <c r="CC98" s="137">
        <f>+((10775-10759)/((((CB75-CB76)+(CC75-CC76))/2)*1000))*4</f>
        <v>1.2297666854542534E-6</v>
      </c>
      <c r="CD98" s="137">
        <f>+((11293-11534)/((((CC75-CC76)+(CD75-CD76))/2)*1000))*4</f>
        <v>-1.9253941445557143E-5</v>
      </c>
      <c r="CE98" s="459">
        <f>+((9742-10554)/((((CD75-CD76)+(CE75-CE76))/2)*1000))*4</f>
        <v>-6.3284302624193878E-5</v>
      </c>
      <c r="CR98" s="263"/>
    </row>
    <row r="99" spans="1:96" s="111" customFormat="1" x14ac:dyDescent="0.2">
      <c r="A99" s="112" t="s">
        <v>144</v>
      </c>
      <c r="B99" s="279"/>
      <c r="C99" s="280">
        <v>9.3299999999999994E-2</v>
      </c>
      <c r="D99" s="280">
        <v>8.5900000000000004E-2</v>
      </c>
      <c r="E99" s="280">
        <v>0.13170000000000001</v>
      </c>
      <c r="F99" s="280">
        <v>8.4500000000000006E-2</v>
      </c>
      <c r="G99" s="280">
        <v>8.4699999999999998E-2</v>
      </c>
      <c r="H99" s="280">
        <v>8.4900000000000003E-2</v>
      </c>
      <c r="I99" s="280">
        <v>9.0399999999999994E-2</v>
      </c>
      <c r="J99" s="280">
        <v>9.2899999999999996E-2</v>
      </c>
      <c r="K99" s="280">
        <v>8.1100000000000005E-2</v>
      </c>
      <c r="L99" s="280">
        <v>7.5999999999999998E-2</v>
      </c>
      <c r="M99" s="280">
        <v>6.7699999999999996E-2</v>
      </c>
      <c r="N99" s="280">
        <v>6.7000000000000004E-2</v>
      </c>
      <c r="O99" s="280">
        <v>6.4199999999999993E-2</v>
      </c>
      <c r="P99" s="280">
        <v>5.4300000000000001E-2</v>
      </c>
      <c r="Q99" s="280">
        <v>5.4699999999999999E-2</v>
      </c>
      <c r="R99" s="280">
        <v>5.2499999999999998E-2</v>
      </c>
      <c r="S99" s="280">
        <v>5.2499999999999998E-2</v>
      </c>
      <c r="T99" s="280">
        <v>5.1200000000000002E-2</v>
      </c>
      <c r="U99" s="280">
        <v>4.6699999999999998E-2</v>
      </c>
      <c r="V99" s="280">
        <v>4.4999999999999998E-2</v>
      </c>
      <c r="W99" s="280">
        <v>4.9099999999999998E-2</v>
      </c>
      <c r="X99" s="280">
        <v>5.4600000000000003E-2</v>
      </c>
      <c r="Y99" s="280">
        <v>5.4600000000000003E-2</v>
      </c>
      <c r="Z99" s="280">
        <v>5.5800000000000002E-2</v>
      </c>
      <c r="AA99" s="280">
        <v>0.06</v>
      </c>
      <c r="AB99" s="280">
        <v>6.1899999999999997E-2</v>
      </c>
      <c r="AC99" s="281">
        <v>6.2E-2</v>
      </c>
      <c r="AD99" s="281">
        <v>6.8000000000000005E-2</v>
      </c>
      <c r="AE99" s="281">
        <v>6.7000000000000004E-2</v>
      </c>
      <c r="AF99" s="281">
        <v>7.1999999999999995E-2</v>
      </c>
      <c r="AG99" s="281">
        <v>7.2599999999999998E-2</v>
      </c>
      <c r="AH99" s="281">
        <v>6.1100000000000002E-2</v>
      </c>
      <c r="AI99" s="281">
        <v>4.6199999999999998E-2</v>
      </c>
      <c r="AJ99" s="280">
        <v>3.8800000000000001E-2</v>
      </c>
      <c r="AK99" s="282">
        <v>3.3399999999999999E-2</v>
      </c>
      <c r="AL99" s="280">
        <v>3.4500000000000003E-2</v>
      </c>
      <c r="AM99" s="281">
        <v>3.3799999999999997E-2</v>
      </c>
      <c r="AN99" s="280">
        <v>3.2599999999999997E-2</v>
      </c>
      <c r="AO99" s="280">
        <v>3.3500000000000002E-2</v>
      </c>
      <c r="AP99" s="280">
        <v>3.9100000000000003E-2</v>
      </c>
      <c r="AQ99" s="280">
        <v>4.4499999999999998E-2</v>
      </c>
      <c r="AR99" s="280">
        <v>4.8099999999999997E-2</v>
      </c>
      <c r="AS99" s="282">
        <v>5.0299999999999997E-2</v>
      </c>
      <c r="AT99" s="281">
        <v>5.0999999999999997E-2</v>
      </c>
      <c r="AU99" s="281">
        <v>4.9799999999999997E-2</v>
      </c>
      <c r="AV99" s="280">
        <v>5.1900000000000002E-2</v>
      </c>
      <c r="AW99" s="280">
        <v>5.21E-2</v>
      </c>
      <c r="AX99" s="280">
        <f>+(((35493-4660)/(((AW89+AX89)/2)*1000))*4)</f>
        <v>4.3742507536797308E-2</v>
      </c>
      <c r="AY99" s="280">
        <f>+(((34731-4016)/(((AX89+AY89)/2)*1000))*4)</f>
        <v>4.1415809876959378E-2</v>
      </c>
      <c r="AZ99" s="280">
        <f>+(((34631-4743)/(((AY89+AZ89)/2)*1000))*4)</f>
        <v>3.9957219251336898E-2</v>
      </c>
      <c r="BA99" s="280">
        <f>+(((34394-5074)/(((AZ89+BA89)/2)*1000))*4)</f>
        <v>3.8821582257530622E-2</v>
      </c>
      <c r="BB99" s="280">
        <f>+(((37390-5034)/(((BA89+BB89)/2)*1000))*4)</f>
        <v>4.0344139650872815E-2</v>
      </c>
      <c r="BC99" s="280">
        <f>+(((39754-6607)/(((BB89+BC89)/2)*1000))*4)</f>
        <v>3.6024453199293573E-2</v>
      </c>
      <c r="BD99" s="280">
        <f>+(((43621-7887)/(((BC89+BD89)/2)*1000))*4)</f>
        <v>3.33534010033835E-2</v>
      </c>
      <c r="BE99" s="280">
        <f>+(((43940-8462)/(((BD89+BE89)/2)*1000))*4)</f>
        <v>3.0126738138201891E-2</v>
      </c>
      <c r="BF99" s="280">
        <f>+(((44100-9442)/(((BE89+BF89)/2)*1000))*4)</f>
        <v>2.6987692232466051E-2</v>
      </c>
      <c r="BG99" s="280">
        <f>+(((37221-1984)/(((BF89+BG89)/2)*1000))*4)</f>
        <v>2.5235257339575042E-2</v>
      </c>
      <c r="BH99" s="280">
        <f>+(((38635-2984)/(((BG89+BH89)/2)*1000))*4)</f>
        <v>2.4652778978304087E-2</v>
      </c>
      <c r="BI99" s="281">
        <f>+(((39325-3428)/(((BH89+BI89)/2)*1000))*4)</f>
        <v>2.4701186994667126E-2</v>
      </c>
      <c r="BJ99" s="280">
        <f>+(((41880-3651)/(((BI89+BJ89)/2)*1000))*4)</f>
        <v>2.4625716708823551E-2</v>
      </c>
      <c r="BK99" s="280">
        <f>+(((42826-3576)/(((BJ89+BK89)/2)*1000))*4)</f>
        <v>2.373608480013158E-2</v>
      </c>
      <c r="BL99" s="280">
        <f>+(((41796-4703)/(((BK89+BL89)/2)*1000))*4)</f>
        <v>2.2293825543668142E-2</v>
      </c>
      <c r="BM99" s="280">
        <f>+(((41746-5623)/(((BL89+BM89)/2)*1000))*4)</f>
        <v>2.0437340876944838E-2</v>
      </c>
      <c r="BN99" s="280">
        <f>+(((46110-6247)/(((BM89+BN89)/2)*1000))*4)</f>
        <v>2.0311062989618496E-2</v>
      </c>
      <c r="BO99" s="280">
        <f>+(((45603-3867)/(((BN89+BO89)/2)*1000))*4)</f>
        <v>1.9710035419126328E-2</v>
      </c>
      <c r="BP99" s="281">
        <f>+(((46958-5446)/(((BO89+BP89)/2)*1000))*4)</f>
        <v>1.8949474704108054E-2</v>
      </c>
      <c r="BQ99" s="280">
        <f>+(((47905-6339)/(((BP89+BQ89)/2)*1000))*4)</f>
        <v>1.8790777478262379E-2</v>
      </c>
      <c r="BR99" s="280">
        <f>+(((49214-6658)/(((BQ89+BR89)/2)*1000))*4)</f>
        <v>1.8459925965433187E-2</v>
      </c>
      <c r="BS99" s="280">
        <f>+(((50674-5600)/(((BR89+BS89)/2)*1000))*4)</f>
        <v>1.8682996542285574E-2</v>
      </c>
      <c r="BT99" s="280">
        <f>+(((51739-7264)/(((BS89+BT89)/2)*1000))*4)</f>
        <v>1.8086520362407509E-2</v>
      </c>
      <c r="BU99" s="280">
        <f>+(((53251-7997)/(((BT89+BU89)/2)*1000))*4)</f>
        <v>1.8078578267487218E-2</v>
      </c>
      <c r="BV99" s="280">
        <f>+(((52510-9070)/(((BU89+BV89)/2)*1000))*4)</f>
        <v>1.6960733799853953E-2</v>
      </c>
      <c r="BW99" s="281">
        <f>+(((50800-6662)/(((BV89+BW89)/2)*1000))*4)</f>
        <v>1.6463856873062465E-2</v>
      </c>
      <c r="BX99" s="281">
        <f>+(((54716-8358)/(((BW89+BX89)/2)*1000))*4)</f>
        <v>1.6525664487125363E-2</v>
      </c>
      <c r="BY99" s="281">
        <f>+(((56887-9296)/(((BX89+BY89)/2)*1000))*4)</f>
        <v>1.6314463036927483E-2</v>
      </c>
      <c r="BZ99" s="280">
        <f>+(((60516-9665)/(((BY89+BZ89)/2)*1000))*4)</f>
        <v>1.6202306330558032E-2</v>
      </c>
      <c r="CA99" s="280">
        <f>+(((67362-7650)/(((BZ89+CA89)/2)*1000))*4)</f>
        <v>1.8523888207836132E-2</v>
      </c>
      <c r="CB99" s="280">
        <f>+(((69948-10914)/(((CA89+CB89)/2)*1000))*4)</f>
        <v>1.7700320801485033E-2</v>
      </c>
      <c r="CC99" s="280">
        <f>+(((77321-10759)/(((CB89+CC89)/2)*1000))*4)</f>
        <v>1.8281604483864261E-2</v>
      </c>
      <c r="CD99" s="280">
        <f>+(((85389-11534)/(((CC89+CD89)/2)*1000))*4)</f>
        <v>1.8806891244330409E-2</v>
      </c>
      <c r="CE99" s="460">
        <f>+(((90594-10554)/(((CD89+CE89)/2)*1000))*4)</f>
        <v>1.8986322800550383E-2</v>
      </c>
      <c r="CF99" s="356"/>
      <c r="CG99"/>
      <c r="CH99"/>
      <c r="CR99" s="263"/>
    </row>
    <row r="100" spans="1:96" x14ac:dyDescent="0.2">
      <c r="A100" s="127"/>
      <c r="B100" s="14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3"/>
      <c r="AD100" s="33"/>
      <c r="AE100" s="33"/>
      <c r="AF100" s="33"/>
      <c r="AG100" s="33"/>
      <c r="AH100" s="33"/>
      <c r="AI100" s="33"/>
      <c r="AJ100" s="32"/>
      <c r="AK100" s="7"/>
      <c r="AL100" s="32"/>
      <c r="AM100" s="33"/>
      <c r="AN100" s="32"/>
      <c r="AO100" s="32"/>
      <c r="AP100" s="32"/>
      <c r="AQ100" s="32"/>
      <c r="AR100" s="32"/>
      <c r="AS100" s="7"/>
      <c r="AT100" s="33"/>
      <c r="AU100" s="33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3"/>
      <c r="BJ100" s="32"/>
      <c r="BK100" s="32"/>
      <c r="BL100" s="32"/>
      <c r="BM100" s="32"/>
      <c r="BN100" s="32"/>
      <c r="BO100" s="32"/>
      <c r="BP100" s="122"/>
      <c r="BQ100" s="32"/>
      <c r="BR100" s="122"/>
      <c r="BS100" s="32"/>
      <c r="BT100" s="32"/>
      <c r="BU100" s="32"/>
      <c r="BV100" s="32"/>
      <c r="BW100" s="33"/>
      <c r="BX100" s="33"/>
      <c r="BY100" s="33"/>
      <c r="BZ100" s="32"/>
      <c r="CA100" s="32"/>
      <c r="CB100" s="32"/>
      <c r="CC100" s="392"/>
      <c r="CD100" s="392"/>
      <c r="CE100" s="361"/>
    </row>
    <row r="101" spans="1:96" x14ac:dyDescent="0.2">
      <c r="A101" s="304" t="s">
        <v>161</v>
      </c>
      <c r="B101" s="7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3"/>
      <c r="AD101" s="33"/>
      <c r="AE101" s="33"/>
      <c r="AF101" s="33"/>
      <c r="AG101" s="33"/>
      <c r="AH101" s="33"/>
      <c r="AI101" s="33"/>
      <c r="AJ101" s="32"/>
      <c r="AK101" s="7"/>
      <c r="AL101" s="32"/>
      <c r="AM101" s="33"/>
      <c r="AN101" s="32"/>
      <c r="AO101" s="32"/>
      <c r="AP101" s="32"/>
      <c r="AQ101" s="32"/>
      <c r="AR101" s="32"/>
      <c r="AS101" s="7"/>
      <c r="AT101" s="33"/>
      <c r="AU101" s="33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3"/>
      <c r="BJ101" s="32"/>
      <c r="BK101" s="32"/>
      <c r="BL101" s="32"/>
      <c r="BM101" s="32"/>
      <c r="BN101" s="32"/>
      <c r="BO101" s="32"/>
      <c r="BP101" s="122"/>
      <c r="BQ101" s="32"/>
      <c r="BR101" s="122"/>
      <c r="BS101" s="32"/>
      <c r="BT101" s="32"/>
      <c r="BU101" s="32"/>
      <c r="BV101" s="32"/>
      <c r="BW101" s="33"/>
      <c r="BX101" s="33"/>
      <c r="BY101" s="33"/>
      <c r="BZ101" s="32"/>
      <c r="CA101" s="32"/>
      <c r="CB101" s="32"/>
      <c r="CC101" s="392"/>
      <c r="CD101" s="392"/>
      <c r="CE101" s="361"/>
    </row>
    <row r="102" spans="1:96" x14ac:dyDescent="0.2">
      <c r="A102" s="11" t="s">
        <v>34</v>
      </c>
      <c r="B102" s="12"/>
      <c r="C102" s="105">
        <v>64</v>
      </c>
      <c r="D102" s="105">
        <v>59</v>
      </c>
      <c r="E102" s="105">
        <v>65</v>
      </c>
      <c r="F102" s="105">
        <v>62</v>
      </c>
      <c r="G102" s="105">
        <v>62</v>
      </c>
      <c r="H102" s="105">
        <v>60</v>
      </c>
      <c r="I102" s="105">
        <v>66</v>
      </c>
      <c r="J102" s="105">
        <v>62</v>
      </c>
      <c r="K102" s="105">
        <v>62</v>
      </c>
      <c r="L102" s="105">
        <v>59</v>
      </c>
      <c r="M102" s="105">
        <v>66</v>
      </c>
      <c r="N102" s="105">
        <v>62</v>
      </c>
      <c r="O102" s="105">
        <v>63</v>
      </c>
      <c r="P102" s="105">
        <v>60</v>
      </c>
      <c r="Q102" s="105">
        <v>66</v>
      </c>
      <c r="R102" s="105">
        <v>64</v>
      </c>
      <c r="S102" s="105">
        <v>61</v>
      </c>
      <c r="T102" s="105">
        <v>62</v>
      </c>
      <c r="U102" s="105">
        <v>66</v>
      </c>
      <c r="V102" s="105">
        <v>64</v>
      </c>
      <c r="W102" s="105">
        <v>64</v>
      </c>
      <c r="X102" s="105">
        <v>59</v>
      </c>
      <c r="Y102" s="105">
        <v>65</v>
      </c>
      <c r="Z102" s="105">
        <v>62</v>
      </c>
      <c r="AA102" s="105">
        <v>64</v>
      </c>
      <c r="AB102" s="105">
        <v>60</v>
      </c>
      <c r="AC102" s="147">
        <v>65</v>
      </c>
      <c r="AD102" s="147">
        <v>62</v>
      </c>
      <c r="AE102" s="147">
        <v>61.5</v>
      </c>
      <c r="AF102" s="147">
        <v>61.5</v>
      </c>
      <c r="AG102" s="147">
        <v>66</v>
      </c>
      <c r="AH102" s="147">
        <v>61.5</v>
      </c>
      <c r="AI102" s="147">
        <v>61.5</v>
      </c>
      <c r="AJ102" s="105">
        <v>58.5</v>
      </c>
      <c r="AK102" s="106">
        <v>66</v>
      </c>
      <c r="AL102" s="105">
        <v>62.5</v>
      </c>
      <c r="AM102" s="147">
        <v>61.5</v>
      </c>
      <c r="AN102" s="105">
        <v>59.5</v>
      </c>
      <c r="AO102" s="105">
        <v>66</v>
      </c>
      <c r="AP102" s="105">
        <v>63.5</v>
      </c>
      <c r="AQ102" s="105">
        <v>62.5</v>
      </c>
      <c r="AR102" s="105">
        <v>59</v>
      </c>
      <c r="AS102" s="106">
        <v>66</v>
      </c>
      <c r="AT102" s="147">
        <v>63.5</v>
      </c>
      <c r="AU102" s="147">
        <v>63.5</v>
      </c>
      <c r="AV102" s="105">
        <v>57.5</v>
      </c>
      <c r="AW102" s="105">
        <v>65</v>
      </c>
      <c r="AX102" s="105">
        <v>61.5</v>
      </c>
      <c r="AY102" s="105">
        <v>61.5</v>
      </c>
      <c r="AZ102" s="105">
        <v>59</v>
      </c>
      <c r="BA102" s="105">
        <v>66</v>
      </c>
      <c r="BB102" s="105">
        <v>61.5</v>
      </c>
      <c r="BC102" s="105">
        <v>62</v>
      </c>
      <c r="BD102" s="105">
        <v>57.5</v>
      </c>
      <c r="BE102" s="105">
        <v>66</v>
      </c>
      <c r="BF102" s="105">
        <v>61.5</v>
      </c>
      <c r="BG102" s="105">
        <v>61.5</v>
      </c>
      <c r="BH102" s="105">
        <v>58.5</v>
      </c>
      <c r="BI102" s="33">
        <v>66</v>
      </c>
      <c r="BJ102" s="105">
        <v>62.5</v>
      </c>
      <c r="BK102" s="105">
        <v>60</v>
      </c>
      <c r="BL102" s="105">
        <v>61.5</v>
      </c>
      <c r="BM102" s="105">
        <v>66</v>
      </c>
      <c r="BN102" s="105">
        <v>63.5</v>
      </c>
      <c r="BO102" s="105">
        <v>63.5</v>
      </c>
      <c r="BP102" s="106">
        <v>58</v>
      </c>
      <c r="BQ102" s="105">
        <v>65</v>
      </c>
      <c r="BR102" s="106">
        <v>62.5</v>
      </c>
      <c r="BS102" s="105">
        <v>62</v>
      </c>
      <c r="BT102" s="105">
        <v>59</v>
      </c>
      <c r="BU102" s="105">
        <v>65</v>
      </c>
      <c r="BV102" s="105">
        <v>61.5</v>
      </c>
      <c r="BW102" s="147">
        <v>63</v>
      </c>
      <c r="BX102" s="147">
        <v>57.5</v>
      </c>
      <c r="BY102" s="147">
        <v>66</v>
      </c>
      <c r="BZ102" s="105">
        <v>61.5</v>
      </c>
      <c r="CA102" s="105">
        <v>63</v>
      </c>
      <c r="CB102" s="105">
        <v>58.5</v>
      </c>
      <c r="CC102" s="406">
        <v>66</v>
      </c>
      <c r="CD102" s="406">
        <v>62.5</v>
      </c>
      <c r="CE102" s="456">
        <v>61.5</v>
      </c>
    </row>
    <row r="103" spans="1:96" x14ac:dyDescent="0.2">
      <c r="A103" s="47" t="s">
        <v>46</v>
      </c>
      <c r="B103" s="48"/>
      <c r="C103" s="49">
        <v>175947</v>
      </c>
      <c r="D103" s="49">
        <v>121482</v>
      </c>
      <c r="E103" s="49">
        <v>141849</v>
      </c>
      <c r="F103" s="49">
        <v>231096</v>
      </c>
      <c r="G103" s="49">
        <v>184721</v>
      </c>
      <c r="H103" s="49">
        <v>136970</v>
      </c>
      <c r="I103" s="49">
        <v>170688</v>
      </c>
      <c r="J103" s="49">
        <v>271392</v>
      </c>
      <c r="K103" s="49">
        <v>168346</v>
      </c>
      <c r="L103" s="49">
        <v>181199</v>
      </c>
      <c r="M103" s="49">
        <v>273974</v>
      </c>
      <c r="N103" s="49">
        <v>309242</v>
      </c>
      <c r="O103" s="49">
        <v>489153</v>
      </c>
      <c r="P103" s="49">
        <v>288851</v>
      </c>
      <c r="Q103" s="49">
        <v>227554</v>
      </c>
      <c r="R103" s="49">
        <v>322486</v>
      </c>
      <c r="S103" s="49">
        <v>379933</v>
      </c>
      <c r="T103" s="49">
        <v>402080</v>
      </c>
      <c r="U103" s="49">
        <v>492314</v>
      </c>
      <c r="V103" s="49">
        <v>552590</v>
      </c>
      <c r="W103" s="49">
        <v>780571</v>
      </c>
      <c r="X103" s="49">
        <v>777772</v>
      </c>
      <c r="Y103" s="49">
        <v>555336</v>
      </c>
      <c r="Z103" s="49">
        <v>760641</v>
      </c>
      <c r="AA103" s="49">
        <v>986161</v>
      </c>
      <c r="AB103" s="49">
        <v>863458</v>
      </c>
      <c r="AC103" s="50">
        <v>879915</v>
      </c>
      <c r="AD103" s="50">
        <v>1060876</v>
      </c>
      <c r="AE103" s="50">
        <v>1043144</v>
      </c>
      <c r="AF103" s="50">
        <v>925216</v>
      </c>
      <c r="AG103" s="50">
        <v>940381</v>
      </c>
      <c r="AH103" s="50">
        <v>1166520</v>
      </c>
      <c r="AI103" s="50">
        <v>1145757</v>
      </c>
      <c r="AJ103" s="49">
        <v>1559585</v>
      </c>
      <c r="AK103" s="51">
        <v>1487321</v>
      </c>
      <c r="AL103" s="49">
        <v>1713294</v>
      </c>
      <c r="AM103" s="50">
        <v>1936210</v>
      </c>
      <c r="AN103" s="49">
        <v>1963379</v>
      </c>
      <c r="AO103" s="49">
        <v>1640897</v>
      </c>
      <c r="AP103" s="49">
        <v>2013851</v>
      </c>
      <c r="AQ103" s="49">
        <v>2291024</v>
      </c>
      <c r="AR103" s="49">
        <v>1754584</v>
      </c>
      <c r="AS103" s="51">
        <v>1914395</v>
      </c>
      <c r="AT103" s="50">
        <v>1689853</v>
      </c>
      <c r="AU103" s="50">
        <v>2129812</v>
      </c>
      <c r="AV103" s="49">
        <v>1643542</v>
      </c>
      <c r="AW103" s="49">
        <v>1414935</v>
      </c>
      <c r="AX103" s="49">
        <v>1495322</v>
      </c>
      <c r="AY103" s="49">
        <v>1981467</v>
      </c>
      <c r="AZ103" s="49">
        <v>1730860</v>
      </c>
      <c r="BA103" s="49">
        <v>1975134</v>
      </c>
      <c r="BB103" s="49">
        <v>1968168</v>
      </c>
      <c r="BC103" s="49">
        <v>2479174</v>
      </c>
      <c r="BD103" s="49">
        <v>2164634</v>
      </c>
      <c r="BE103" s="49">
        <v>2278290</v>
      </c>
      <c r="BF103" s="49">
        <v>2763968</v>
      </c>
      <c r="BG103" s="49">
        <v>4134225</v>
      </c>
      <c r="BH103" s="49">
        <v>4044792</v>
      </c>
      <c r="BI103" s="50">
        <v>4407832</v>
      </c>
      <c r="BJ103" s="49">
        <v>5407206</v>
      </c>
      <c r="BK103" s="49">
        <v>5671195</v>
      </c>
      <c r="BL103" s="49">
        <v>5597502</v>
      </c>
      <c r="BM103" s="49">
        <v>6312688</v>
      </c>
      <c r="BN103" s="49">
        <v>7053633</v>
      </c>
      <c r="BO103" s="49">
        <v>7791456</v>
      </c>
      <c r="BP103" s="51">
        <v>7262030</v>
      </c>
      <c r="BQ103" s="49">
        <v>7293446</v>
      </c>
      <c r="BR103" s="51">
        <v>8417649</v>
      </c>
      <c r="BS103" s="49">
        <v>9475187</v>
      </c>
      <c r="BT103" s="49">
        <v>8170965</v>
      </c>
      <c r="BU103" s="49">
        <v>9104141</v>
      </c>
      <c r="BV103" s="49">
        <v>9125293</v>
      </c>
      <c r="BW103" s="50">
        <v>10124086</v>
      </c>
      <c r="BX103" s="50">
        <v>9807707</v>
      </c>
      <c r="BY103" s="50">
        <v>11592205</v>
      </c>
      <c r="BZ103" s="49">
        <v>11423333</v>
      </c>
      <c r="CA103" s="49">
        <v>20193512</v>
      </c>
      <c r="CB103" s="49">
        <v>19413403</v>
      </c>
      <c r="CC103" s="394">
        <v>21672068</v>
      </c>
      <c r="CD103" s="394">
        <v>24267447</v>
      </c>
      <c r="CE103" s="453">
        <v>36604732</v>
      </c>
      <c r="CF103" s="465"/>
      <c r="CG103" s="355"/>
    </row>
    <row r="104" spans="1:96" x14ac:dyDescent="0.2">
      <c r="A104" s="142" t="s">
        <v>105</v>
      </c>
      <c r="B104" s="48"/>
      <c r="C104" s="49">
        <v>5952</v>
      </c>
      <c r="D104" s="49">
        <v>3252</v>
      </c>
      <c r="E104" s="49">
        <v>3265</v>
      </c>
      <c r="F104" s="49">
        <v>5818</v>
      </c>
      <c r="G104" s="49">
        <v>6120</v>
      </c>
      <c r="H104" s="49">
        <v>5596</v>
      </c>
      <c r="I104" s="49">
        <v>4314</v>
      </c>
      <c r="J104" s="49">
        <v>6577</v>
      </c>
      <c r="K104" s="49">
        <v>5557</v>
      </c>
      <c r="L104" s="49">
        <v>5241</v>
      </c>
      <c r="M104" s="49">
        <v>10520</v>
      </c>
      <c r="N104" s="49">
        <v>13409</v>
      </c>
      <c r="O104" s="49">
        <v>25193</v>
      </c>
      <c r="P104" s="49">
        <v>21172</v>
      </c>
      <c r="Q104" s="49">
        <v>15499</v>
      </c>
      <c r="R104" s="49">
        <v>27563</v>
      </c>
      <c r="S104" s="49">
        <v>46722</v>
      </c>
      <c r="T104" s="49">
        <v>46811</v>
      </c>
      <c r="U104" s="49">
        <v>74366</v>
      </c>
      <c r="V104" s="49">
        <v>96429</v>
      </c>
      <c r="W104" s="49">
        <v>165046</v>
      </c>
      <c r="X104" s="49">
        <v>162703</v>
      </c>
      <c r="Y104" s="49">
        <v>105274</v>
      </c>
      <c r="Z104" s="49">
        <v>156013</v>
      </c>
      <c r="AA104" s="49">
        <v>234409</v>
      </c>
      <c r="AB104" s="49">
        <v>218769</v>
      </c>
      <c r="AC104" s="50">
        <v>245018</v>
      </c>
      <c r="AD104" s="50">
        <v>319891</v>
      </c>
      <c r="AE104" s="50">
        <v>335239</v>
      </c>
      <c r="AF104" s="50">
        <v>317518</v>
      </c>
      <c r="AG104" s="50">
        <v>324762</v>
      </c>
      <c r="AH104" s="50">
        <v>363699</v>
      </c>
      <c r="AI104" s="50">
        <v>376384</v>
      </c>
      <c r="AJ104" s="49">
        <v>514286</v>
      </c>
      <c r="AK104" s="51">
        <v>513292</v>
      </c>
      <c r="AL104" s="49">
        <v>627997</v>
      </c>
      <c r="AM104" s="50">
        <v>780076</v>
      </c>
      <c r="AN104" s="49">
        <v>768462</v>
      </c>
      <c r="AO104" s="49">
        <v>637860</v>
      </c>
      <c r="AP104" s="49">
        <v>754755</v>
      </c>
      <c r="AQ104" s="49">
        <v>979415</v>
      </c>
      <c r="AR104" s="49">
        <v>709307</v>
      </c>
      <c r="AS104" s="51">
        <v>686998</v>
      </c>
      <c r="AT104" s="50">
        <v>669376</v>
      </c>
      <c r="AU104" s="50">
        <v>1017544</v>
      </c>
      <c r="AV104" s="49">
        <v>747792</v>
      </c>
      <c r="AW104" s="49">
        <v>604540</v>
      </c>
      <c r="AX104" s="49">
        <v>665293</v>
      </c>
      <c r="AY104" s="49">
        <v>880146</v>
      </c>
      <c r="AZ104" s="49">
        <v>799047</v>
      </c>
      <c r="BA104" s="49">
        <v>900632</v>
      </c>
      <c r="BB104" s="49">
        <v>789783</v>
      </c>
      <c r="BC104" s="49">
        <v>1123928</v>
      </c>
      <c r="BD104" s="49">
        <v>1083763</v>
      </c>
      <c r="BE104" s="49">
        <v>1076504</v>
      </c>
      <c r="BF104" s="49">
        <v>1191783</v>
      </c>
      <c r="BG104" s="49">
        <v>1839148</v>
      </c>
      <c r="BH104" s="49">
        <v>1591405</v>
      </c>
      <c r="BI104" s="50">
        <v>1554623</v>
      </c>
      <c r="BJ104" s="49">
        <v>1562233</v>
      </c>
      <c r="BK104" s="49">
        <v>1742471</v>
      </c>
      <c r="BL104" s="49">
        <v>1692791</v>
      </c>
      <c r="BM104" s="49">
        <v>2038684</v>
      </c>
      <c r="BN104" s="49">
        <v>2362389</v>
      </c>
      <c r="BO104" s="49">
        <v>2870030</v>
      </c>
      <c r="BP104" s="51">
        <v>2963313</v>
      </c>
      <c r="BQ104" s="49">
        <v>2740422</v>
      </c>
      <c r="BR104" s="51">
        <v>3173018</v>
      </c>
      <c r="BS104" s="49">
        <v>3734291</v>
      </c>
      <c r="BT104" s="49">
        <v>3486358</v>
      </c>
      <c r="BU104" s="49">
        <v>3511717</v>
      </c>
      <c r="BV104" s="49">
        <v>3583483</v>
      </c>
      <c r="BW104" s="50">
        <v>4294374</v>
      </c>
      <c r="BX104" s="50">
        <v>4122300</v>
      </c>
      <c r="BY104" s="50">
        <v>4890356</v>
      </c>
      <c r="BZ104" s="49">
        <v>4829810</v>
      </c>
      <c r="CA104" s="49">
        <v>7249767</v>
      </c>
      <c r="CB104" s="49">
        <v>6058167</v>
      </c>
      <c r="CC104" s="394">
        <v>6616822</v>
      </c>
      <c r="CD104" s="394">
        <v>7703853</v>
      </c>
      <c r="CE104" s="453">
        <v>9852555</v>
      </c>
    </row>
    <row r="105" spans="1:96" x14ac:dyDescent="0.2">
      <c r="A105" s="142" t="s">
        <v>54</v>
      </c>
      <c r="B105" s="48"/>
      <c r="C105" s="49">
        <v>7352</v>
      </c>
      <c r="D105" s="49">
        <v>2818</v>
      </c>
      <c r="E105" s="49">
        <v>1223</v>
      </c>
      <c r="F105" s="49">
        <v>1709</v>
      </c>
      <c r="G105" s="49">
        <v>724</v>
      </c>
      <c r="H105" s="49">
        <v>2590</v>
      </c>
      <c r="I105" s="49">
        <v>1876</v>
      </c>
      <c r="J105" s="49">
        <v>2177</v>
      </c>
      <c r="K105" s="49">
        <v>2358</v>
      </c>
      <c r="L105" s="49">
        <v>2708</v>
      </c>
      <c r="M105" s="49">
        <v>1722</v>
      </c>
      <c r="N105" s="49">
        <v>2887</v>
      </c>
      <c r="O105" s="49">
        <v>3105</v>
      </c>
      <c r="P105" s="49">
        <v>2738</v>
      </c>
      <c r="Q105" s="49">
        <v>728</v>
      </c>
      <c r="R105" s="49">
        <v>1755</v>
      </c>
      <c r="S105" s="49">
        <v>3446</v>
      </c>
      <c r="T105" s="49">
        <v>4196</v>
      </c>
      <c r="U105" s="49">
        <v>4229</v>
      </c>
      <c r="V105" s="49">
        <v>6782</v>
      </c>
      <c r="W105" s="49">
        <v>9638</v>
      </c>
      <c r="X105" s="49">
        <v>9203</v>
      </c>
      <c r="Y105" s="49">
        <v>10878</v>
      </c>
      <c r="Z105" s="49">
        <v>13676</v>
      </c>
      <c r="AA105" s="49">
        <v>17545</v>
      </c>
      <c r="AB105" s="49">
        <v>26949</v>
      </c>
      <c r="AC105" s="51">
        <v>29746</v>
      </c>
      <c r="AD105" s="50">
        <v>29430</v>
      </c>
      <c r="AE105" s="50">
        <v>31975</v>
      </c>
      <c r="AF105" s="50">
        <v>23146</v>
      </c>
      <c r="AG105" s="50">
        <v>30293</v>
      </c>
      <c r="AH105" s="50">
        <v>37363</v>
      </c>
      <c r="AI105" s="50">
        <v>44655</v>
      </c>
      <c r="AJ105" s="49">
        <v>50061</v>
      </c>
      <c r="AK105" s="51">
        <v>52715</v>
      </c>
      <c r="AL105" s="49">
        <v>73813</v>
      </c>
      <c r="AM105" s="50">
        <v>79480</v>
      </c>
      <c r="AN105" s="49">
        <v>85312</v>
      </c>
      <c r="AO105" s="49">
        <v>80947</v>
      </c>
      <c r="AP105" s="49">
        <v>123723</v>
      </c>
      <c r="AQ105" s="49">
        <v>121080</v>
      </c>
      <c r="AR105" s="49">
        <v>88620</v>
      </c>
      <c r="AS105" s="51">
        <v>95216</v>
      </c>
      <c r="AT105" s="50">
        <v>69005</v>
      </c>
      <c r="AU105" s="50">
        <v>93490</v>
      </c>
      <c r="AV105" s="49">
        <v>96340</v>
      </c>
      <c r="AW105" s="49">
        <v>81429</v>
      </c>
      <c r="AX105" s="49">
        <v>70290</v>
      </c>
      <c r="AY105" s="49">
        <v>69901</v>
      </c>
      <c r="AZ105" s="49">
        <v>78859</v>
      </c>
      <c r="BA105" s="49">
        <v>74199</v>
      </c>
      <c r="BB105" s="49">
        <v>84322</v>
      </c>
      <c r="BC105" s="49">
        <v>107140</v>
      </c>
      <c r="BD105" s="49">
        <v>84304</v>
      </c>
      <c r="BE105" s="49">
        <v>95985</v>
      </c>
      <c r="BF105" s="49">
        <v>117641</v>
      </c>
      <c r="BG105" s="49">
        <v>125009</v>
      </c>
      <c r="BH105" s="49">
        <v>114817</v>
      </c>
      <c r="BI105" s="50">
        <v>175986</v>
      </c>
      <c r="BJ105" s="49">
        <v>200804</v>
      </c>
      <c r="BK105" s="49">
        <v>215138</v>
      </c>
      <c r="BL105" s="49">
        <v>245828</v>
      </c>
      <c r="BM105" s="49">
        <v>297298</v>
      </c>
      <c r="BN105" s="49">
        <v>339970</v>
      </c>
      <c r="BO105" s="49">
        <v>353287</v>
      </c>
      <c r="BP105" s="51">
        <v>312115</v>
      </c>
      <c r="BQ105" s="49">
        <v>303927</v>
      </c>
      <c r="BR105" s="51">
        <v>476875</v>
      </c>
      <c r="BS105" s="49">
        <v>637790</v>
      </c>
      <c r="BT105" s="49">
        <v>461748</v>
      </c>
      <c r="BU105" s="49">
        <v>587377</v>
      </c>
      <c r="BV105" s="49">
        <v>615709</v>
      </c>
      <c r="BW105" s="50">
        <v>625319</v>
      </c>
      <c r="BX105" s="50">
        <v>577660</v>
      </c>
      <c r="BY105" s="50">
        <v>618031</v>
      </c>
      <c r="BZ105" s="49">
        <v>603702</v>
      </c>
      <c r="CA105" s="49">
        <v>1333819</v>
      </c>
      <c r="CB105" s="49">
        <v>1687864</v>
      </c>
      <c r="CC105" s="394">
        <v>1907222</v>
      </c>
      <c r="CD105" s="394">
        <v>2601886</v>
      </c>
      <c r="CE105" s="453">
        <v>6173524</v>
      </c>
    </row>
    <row r="106" spans="1:96" x14ac:dyDescent="0.2">
      <c r="A106" s="142" t="s">
        <v>124</v>
      </c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51"/>
      <c r="AD106" s="50"/>
      <c r="AE106" s="50"/>
      <c r="AF106" s="50"/>
      <c r="AG106" s="50"/>
      <c r="AH106" s="50"/>
      <c r="AI106" s="50"/>
      <c r="AJ106" s="49"/>
      <c r="AK106" s="51"/>
      <c r="AL106" s="49"/>
      <c r="AM106" s="50"/>
      <c r="AN106" s="49"/>
      <c r="AO106" s="49"/>
      <c r="AP106" s="49"/>
      <c r="AQ106" s="49"/>
      <c r="AR106" s="49"/>
      <c r="AS106" s="51"/>
      <c r="AT106" s="50"/>
      <c r="AU106" s="50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>
        <v>94893</v>
      </c>
      <c r="BI106" s="51">
        <v>430804</v>
      </c>
      <c r="BJ106" s="49">
        <v>367405</v>
      </c>
      <c r="BK106" s="49">
        <v>608351</v>
      </c>
      <c r="BL106" s="49">
        <v>611539</v>
      </c>
      <c r="BM106" s="49">
        <v>591453</v>
      </c>
      <c r="BN106" s="49">
        <v>512446</v>
      </c>
      <c r="BO106" s="49">
        <v>544432</v>
      </c>
      <c r="BP106" s="51">
        <v>460669</v>
      </c>
      <c r="BQ106" s="49">
        <v>541026</v>
      </c>
      <c r="BR106" s="51">
        <v>420647</v>
      </c>
      <c r="BS106" s="49">
        <v>677369</v>
      </c>
      <c r="BT106" s="49">
        <v>540095</v>
      </c>
      <c r="BU106" s="49">
        <v>568788</v>
      </c>
      <c r="BV106" s="49">
        <v>733975</v>
      </c>
      <c r="BW106" s="50">
        <v>722742</v>
      </c>
      <c r="BX106" s="50">
        <v>604683</v>
      </c>
      <c r="BY106" s="50">
        <v>804639</v>
      </c>
      <c r="BZ106" s="49">
        <v>792158</v>
      </c>
      <c r="CA106" s="49">
        <v>1535427</v>
      </c>
      <c r="CB106" s="49">
        <v>1323182</v>
      </c>
      <c r="CC106" s="394">
        <v>1225767</v>
      </c>
      <c r="CD106" s="394">
        <v>1218837</v>
      </c>
      <c r="CE106" s="453">
        <v>1433257</v>
      </c>
    </row>
    <row r="107" spans="1:96" x14ac:dyDescent="0.2">
      <c r="A107" s="142" t="s">
        <v>118</v>
      </c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51"/>
      <c r="AD107" s="50"/>
      <c r="AE107" s="50"/>
      <c r="AF107" s="50"/>
      <c r="AG107" s="50"/>
      <c r="AH107" s="50"/>
      <c r="AI107" s="50"/>
      <c r="AJ107" s="49"/>
      <c r="AK107" s="51"/>
      <c r="AL107" s="49"/>
      <c r="AM107" s="50"/>
      <c r="AN107" s="49"/>
      <c r="AO107" s="49"/>
      <c r="AP107" s="49"/>
      <c r="AQ107" s="49"/>
      <c r="AR107" s="49"/>
      <c r="AS107" s="51"/>
      <c r="AT107" s="50"/>
      <c r="AU107" s="50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51"/>
      <c r="BJ107" s="49"/>
      <c r="BK107" s="49"/>
      <c r="BL107" s="49">
        <v>140696</v>
      </c>
      <c r="BM107" s="49">
        <v>284981</v>
      </c>
      <c r="BN107" s="49">
        <v>331862</v>
      </c>
      <c r="BO107" s="49">
        <v>438077</v>
      </c>
      <c r="BP107" s="51">
        <v>380079</v>
      </c>
      <c r="BQ107" s="49">
        <v>411073</v>
      </c>
      <c r="BR107" s="51">
        <v>456745</v>
      </c>
      <c r="BS107" s="49">
        <v>452171</v>
      </c>
      <c r="BT107" s="49">
        <v>376037</v>
      </c>
      <c r="BU107" s="49">
        <v>479676</v>
      </c>
      <c r="BV107" s="49">
        <v>387302</v>
      </c>
      <c r="BW107" s="50">
        <v>489404</v>
      </c>
      <c r="BX107" s="50">
        <v>432194</v>
      </c>
      <c r="BY107" s="50">
        <v>515031</v>
      </c>
      <c r="BZ107" s="49">
        <v>520443</v>
      </c>
      <c r="CA107" s="49">
        <v>904696</v>
      </c>
      <c r="CB107" s="49">
        <v>1140416</v>
      </c>
      <c r="CC107" s="394">
        <v>1098396</v>
      </c>
      <c r="CD107" s="394">
        <v>1170895</v>
      </c>
      <c r="CE107" s="453">
        <v>1431876</v>
      </c>
    </row>
    <row r="108" spans="1:96" x14ac:dyDescent="0.2">
      <c r="A108" s="47" t="s">
        <v>127</v>
      </c>
      <c r="B108" s="48"/>
      <c r="C108" s="103" t="s">
        <v>53</v>
      </c>
      <c r="D108" s="103" t="s">
        <v>53</v>
      </c>
      <c r="E108" s="103" t="s">
        <v>53</v>
      </c>
      <c r="F108" s="103" t="s">
        <v>53</v>
      </c>
      <c r="G108" s="103" t="s">
        <v>53</v>
      </c>
      <c r="H108" s="103" t="s">
        <v>53</v>
      </c>
      <c r="I108" s="103" t="s">
        <v>53</v>
      </c>
      <c r="J108" s="103" t="s">
        <v>53</v>
      </c>
      <c r="K108" s="103" t="s">
        <v>53</v>
      </c>
      <c r="L108" s="103" t="s">
        <v>53</v>
      </c>
      <c r="M108" s="103" t="s">
        <v>53</v>
      </c>
      <c r="N108" s="103" t="s">
        <v>53</v>
      </c>
      <c r="O108" s="103" t="s">
        <v>53</v>
      </c>
      <c r="P108" s="103" t="s">
        <v>53</v>
      </c>
      <c r="Q108" s="103" t="s">
        <v>53</v>
      </c>
      <c r="R108" s="103" t="s">
        <v>53</v>
      </c>
      <c r="S108" s="103" t="s">
        <v>53</v>
      </c>
      <c r="T108" s="103" t="s">
        <v>53</v>
      </c>
      <c r="U108" s="103" t="s">
        <v>53</v>
      </c>
      <c r="V108" s="103" t="s">
        <v>53</v>
      </c>
      <c r="W108" s="103" t="s">
        <v>53</v>
      </c>
      <c r="X108" s="103" t="s">
        <v>53</v>
      </c>
      <c r="Y108" s="103" t="s">
        <v>53</v>
      </c>
      <c r="Z108" s="103" t="s">
        <v>53</v>
      </c>
      <c r="AA108" s="103" t="s">
        <v>53</v>
      </c>
      <c r="AB108" s="103" t="s">
        <v>53</v>
      </c>
      <c r="AC108" s="103" t="s">
        <v>53</v>
      </c>
      <c r="AD108" s="103" t="s">
        <v>53</v>
      </c>
      <c r="AE108" s="103" t="s">
        <v>53</v>
      </c>
      <c r="AF108" s="103" t="s">
        <v>53</v>
      </c>
      <c r="AG108" s="103" t="s">
        <v>53</v>
      </c>
      <c r="AH108" s="103" t="s">
        <v>53</v>
      </c>
      <c r="AI108" s="103" t="s">
        <v>53</v>
      </c>
      <c r="AJ108" s="103" t="s">
        <v>53</v>
      </c>
      <c r="AK108" s="103" t="s">
        <v>53</v>
      </c>
      <c r="AL108" s="103" t="s">
        <v>53</v>
      </c>
      <c r="AM108" s="103" t="s">
        <v>53</v>
      </c>
      <c r="AN108" s="103" t="s">
        <v>53</v>
      </c>
      <c r="AO108" s="103" t="s">
        <v>53</v>
      </c>
      <c r="AP108" s="103" t="s">
        <v>53</v>
      </c>
      <c r="AQ108" s="103" t="s">
        <v>53</v>
      </c>
      <c r="AR108" s="103" t="s">
        <v>53</v>
      </c>
      <c r="AS108" s="103" t="s">
        <v>53</v>
      </c>
      <c r="AT108" s="103" t="s">
        <v>53</v>
      </c>
      <c r="AU108" s="103" t="s">
        <v>53</v>
      </c>
      <c r="AV108" s="103" t="s">
        <v>53</v>
      </c>
      <c r="AW108" s="103" t="s">
        <v>53</v>
      </c>
      <c r="AX108" s="103" t="s">
        <v>53</v>
      </c>
      <c r="AY108" s="49">
        <v>122227.71425812437</v>
      </c>
      <c r="AZ108" s="49">
        <v>104561.448672036</v>
      </c>
      <c r="BA108" s="49">
        <v>119273.73946370557</v>
      </c>
      <c r="BB108" s="49">
        <v>127144.5993297752</v>
      </c>
      <c r="BC108" s="49">
        <v>153637.51264599239</v>
      </c>
      <c r="BD108" s="49">
        <v>132591.05050347646</v>
      </c>
      <c r="BE108" s="49">
        <v>134034.95254197123</v>
      </c>
      <c r="BF108" s="49">
        <v>167675.66693025085</v>
      </c>
      <c r="BG108" s="49">
        <v>174512.21389361875</v>
      </c>
      <c r="BH108" s="49">
        <v>173945.47665528033</v>
      </c>
      <c r="BI108" s="51">
        <v>194706.8902501518</v>
      </c>
      <c r="BJ108" s="49">
        <v>247769.72114975136</v>
      </c>
      <c r="BK108" s="49">
        <v>202055.37044750983</v>
      </c>
      <c r="BL108" s="49">
        <v>176929.21726146975</v>
      </c>
      <c r="BM108" s="49">
        <v>178010.73876488983</v>
      </c>
      <c r="BN108" s="49">
        <v>189226.36841802008</v>
      </c>
      <c r="BO108" s="49">
        <v>187418.13328682038</v>
      </c>
      <c r="BP108" s="51">
        <v>166488.63802178012</v>
      </c>
      <c r="BQ108" s="49">
        <v>170674.97144208962</v>
      </c>
      <c r="BR108" s="51">
        <v>180790.07457259012</v>
      </c>
      <c r="BS108" s="49">
        <v>200818.29619358008</v>
      </c>
      <c r="BT108" s="49">
        <v>162522.22771270981</v>
      </c>
      <c r="BU108" s="49">
        <v>186152.91279198966</v>
      </c>
      <c r="BV108" s="49">
        <v>188713.88397245971</v>
      </c>
      <c r="BW108" s="50">
        <v>193643.87153481977</v>
      </c>
      <c r="BX108" s="50">
        <v>172540.53464277968</v>
      </c>
      <c r="BY108" s="50">
        <v>191933.91578035953</v>
      </c>
      <c r="BZ108" s="49">
        <v>202888.69627287073</v>
      </c>
      <c r="CA108" s="49">
        <v>399933.3190082818</v>
      </c>
      <c r="CB108" s="49">
        <v>358623.21496106993</v>
      </c>
      <c r="CC108" s="394">
        <v>363595.90239685943</v>
      </c>
      <c r="CD108" s="394">
        <v>385743.42730020941</v>
      </c>
      <c r="CE108" s="453">
        <v>530606.26882220979</v>
      </c>
    </row>
    <row r="109" spans="1:96" ht="15" x14ac:dyDescent="0.2">
      <c r="A109" s="47" t="s">
        <v>238</v>
      </c>
      <c r="B109" s="48"/>
      <c r="C109" s="103" t="s">
        <v>53</v>
      </c>
      <c r="D109" s="103" t="s">
        <v>53</v>
      </c>
      <c r="E109" s="103" t="s">
        <v>53</v>
      </c>
      <c r="F109" s="103" t="s">
        <v>53</v>
      </c>
      <c r="G109" s="103" t="s">
        <v>53</v>
      </c>
      <c r="H109" s="103" t="s">
        <v>53</v>
      </c>
      <c r="I109" s="103" t="s">
        <v>53</v>
      </c>
      <c r="J109" s="103" t="s">
        <v>53</v>
      </c>
      <c r="K109" s="103" t="s">
        <v>53</v>
      </c>
      <c r="L109" s="103" t="s">
        <v>53</v>
      </c>
      <c r="M109" s="103" t="s">
        <v>53</v>
      </c>
      <c r="N109" s="103" t="s">
        <v>53</v>
      </c>
      <c r="O109" s="103" t="s">
        <v>53</v>
      </c>
      <c r="P109" s="103" t="s">
        <v>53</v>
      </c>
      <c r="Q109" s="103" t="s">
        <v>53</v>
      </c>
      <c r="R109" s="103" t="s">
        <v>53</v>
      </c>
      <c r="S109" s="103" t="s">
        <v>53</v>
      </c>
      <c r="T109" s="103" t="s">
        <v>53</v>
      </c>
      <c r="U109" s="103" t="s">
        <v>53</v>
      </c>
      <c r="V109" s="103" t="s">
        <v>53</v>
      </c>
      <c r="W109" s="103" t="s">
        <v>53</v>
      </c>
      <c r="X109" s="103" t="s">
        <v>53</v>
      </c>
      <c r="Y109" s="103" t="s">
        <v>53</v>
      </c>
      <c r="Z109" s="103" t="s">
        <v>53</v>
      </c>
      <c r="AA109" s="103" t="s">
        <v>53</v>
      </c>
      <c r="AB109" s="103" t="s">
        <v>53</v>
      </c>
      <c r="AC109" s="103" t="s">
        <v>53</v>
      </c>
      <c r="AD109" s="103" t="s">
        <v>53</v>
      </c>
      <c r="AE109" s="103" t="s">
        <v>53</v>
      </c>
      <c r="AF109" s="103" t="s">
        <v>53</v>
      </c>
      <c r="AG109" s="103" t="s">
        <v>53</v>
      </c>
      <c r="AH109" s="103" t="s">
        <v>53</v>
      </c>
      <c r="AI109" s="103" t="s">
        <v>53</v>
      </c>
      <c r="AJ109" s="103" t="s">
        <v>53</v>
      </c>
      <c r="AK109" s="103" t="s">
        <v>53</v>
      </c>
      <c r="AL109" s="103" t="s">
        <v>53</v>
      </c>
      <c r="AM109" s="103" t="s">
        <v>53</v>
      </c>
      <c r="AN109" s="103" t="s">
        <v>53</v>
      </c>
      <c r="AO109" s="103" t="s">
        <v>53</v>
      </c>
      <c r="AP109" s="103" t="s">
        <v>53</v>
      </c>
      <c r="AQ109" s="103" t="s">
        <v>53</v>
      </c>
      <c r="AR109" s="103" t="s">
        <v>53</v>
      </c>
      <c r="AS109" s="103" t="s">
        <v>53</v>
      </c>
      <c r="AT109" s="103" t="s">
        <v>53</v>
      </c>
      <c r="AU109" s="103" t="s">
        <v>53</v>
      </c>
      <c r="AV109" s="103" t="s">
        <v>53</v>
      </c>
      <c r="AW109" s="103" t="s">
        <v>53</v>
      </c>
      <c r="AX109" s="103" t="s">
        <v>53</v>
      </c>
      <c r="AY109" s="49">
        <v>79470.23734591846</v>
      </c>
      <c r="AZ109" s="49">
        <v>66058.030650841392</v>
      </c>
      <c r="BA109" s="49">
        <v>80983.375613066441</v>
      </c>
      <c r="BB109" s="49">
        <v>84828.983610159688</v>
      </c>
      <c r="BC109" s="49">
        <v>98677.149796212994</v>
      </c>
      <c r="BD109" s="49">
        <v>83638.261641188088</v>
      </c>
      <c r="BE109" s="49">
        <v>82211.383626819836</v>
      </c>
      <c r="BF109" s="49">
        <v>100737.93170172693</v>
      </c>
      <c r="BG109" s="49">
        <v>145169.24919583803</v>
      </c>
      <c r="BH109" s="49">
        <v>144202.03018855338</v>
      </c>
      <c r="BI109" s="51">
        <v>167352.66261884771</v>
      </c>
      <c r="BJ109" s="49">
        <v>221817.38741790081</v>
      </c>
      <c r="BK109" s="49">
        <v>168271.05635940001</v>
      </c>
      <c r="BL109" s="49">
        <v>149790.11181480996</v>
      </c>
      <c r="BM109" s="49">
        <v>143933.10623557013</v>
      </c>
      <c r="BN109" s="49">
        <v>152990.0819881701</v>
      </c>
      <c r="BO109" s="49">
        <v>147165.61446516996</v>
      </c>
      <c r="BP109" s="51">
        <v>128275.43633029002</v>
      </c>
      <c r="BQ109" s="49">
        <v>133648.94465943993</v>
      </c>
      <c r="BR109" s="51">
        <v>139907.56670028003</v>
      </c>
      <c r="BS109" s="49">
        <v>143485.76694348999</v>
      </c>
      <c r="BT109" s="49">
        <v>119943.5221076</v>
      </c>
      <c r="BU109" s="49">
        <v>134205.04036695982</v>
      </c>
      <c r="BV109" s="49">
        <v>134744.88481388995</v>
      </c>
      <c r="BW109" s="50">
        <v>142281.99203869002</v>
      </c>
      <c r="BX109" s="50">
        <v>125752.08803654998</v>
      </c>
      <c r="BY109" s="50">
        <v>140803.7417298099</v>
      </c>
      <c r="BZ109" s="49">
        <v>148958.18289446997</v>
      </c>
      <c r="CA109" s="49">
        <v>282354.21338509</v>
      </c>
      <c r="CB109" s="49">
        <v>277834.50745608023</v>
      </c>
      <c r="CC109" s="394">
        <v>288207.45364977984</v>
      </c>
      <c r="CD109" s="394">
        <v>300385.5275008899</v>
      </c>
      <c r="CE109" s="453">
        <v>422337.52375935006</v>
      </c>
      <c r="CF109" s="465"/>
    </row>
    <row r="110" spans="1:96" x14ac:dyDescent="0.2">
      <c r="A110" s="47" t="s">
        <v>224</v>
      </c>
      <c r="B110" s="48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51"/>
      <c r="BJ110" s="49"/>
      <c r="BK110" s="49"/>
      <c r="BL110" s="49"/>
      <c r="BM110" s="49"/>
      <c r="BN110" s="49"/>
      <c r="BO110" s="49"/>
      <c r="BP110" s="51"/>
      <c r="BQ110" s="49"/>
      <c r="BR110" s="51"/>
      <c r="BS110" s="49"/>
      <c r="BT110" s="49"/>
      <c r="BU110" s="49"/>
      <c r="BV110" s="49"/>
      <c r="BW110" s="50"/>
      <c r="BX110" s="50"/>
      <c r="BY110" s="50"/>
      <c r="BZ110" s="49"/>
      <c r="CA110" s="49">
        <v>27853.050443040011</v>
      </c>
      <c r="CB110" s="49">
        <v>32992.523869479999</v>
      </c>
      <c r="CC110" s="394">
        <v>35283.792729000001</v>
      </c>
      <c r="CD110" s="394">
        <v>47609.704072</v>
      </c>
      <c r="CE110" s="453">
        <v>98224.870314999993</v>
      </c>
      <c r="CF110" s="465"/>
    </row>
    <row r="111" spans="1:96" x14ac:dyDescent="0.2">
      <c r="A111" s="47" t="s">
        <v>148</v>
      </c>
      <c r="B111" s="48"/>
      <c r="C111" s="103" t="s">
        <v>53</v>
      </c>
      <c r="D111" s="103" t="s">
        <v>53</v>
      </c>
      <c r="E111" s="103" t="s">
        <v>53</v>
      </c>
      <c r="F111" s="103" t="s">
        <v>53</v>
      </c>
      <c r="G111" s="103" t="s">
        <v>53</v>
      </c>
      <c r="H111" s="103" t="s">
        <v>53</v>
      </c>
      <c r="I111" s="103" t="s">
        <v>53</v>
      </c>
      <c r="J111" s="103" t="s">
        <v>53</v>
      </c>
      <c r="K111" s="103" t="s">
        <v>53</v>
      </c>
      <c r="L111" s="103" t="s">
        <v>53</v>
      </c>
      <c r="M111" s="103" t="s">
        <v>53</v>
      </c>
      <c r="N111" s="103" t="s">
        <v>53</v>
      </c>
      <c r="O111" s="103" t="s">
        <v>53</v>
      </c>
      <c r="P111" s="103" t="s">
        <v>53</v>
      </c>
      <c r="Q111" s="103" t="s">
        <v>53</v>
      </c>
      <c r="R111" s="103" t="s">
        <v>53</v>
      </c>
      <c r="S111" s="103" t="s">
        <v>53</v>
      </c>
      <c r="T111" s="103" t="s">
        <v>53</v>
      </c>
      <c r="U111" s="103" t="s">
        <v>53</v>
      </c>
      <c r="V111" s="103" t="s">
        <v>53</v>
      </c>
      <c r="W111" s="103" t="s">
        <v>53</v>
      </c>
      <c r="X111" s="103" t="s">
        <v>53</v>
      </c>
      <c r="Y111" s="103" t="s">
        <v>53</v>
      </c>
      <c r="Z111" s="103" t="s">
        <v>53</v>
      </c>
      <c r="AA111" s="103" t="s">
        <v>53</v>
      </c>
      <c r="AB111" s="103" t="s">
        <v>53</v>
      </c>
      <c r="AC111" s="103" t="s">
        <v>53</v>
      </c>
      <c r="AD111" s="103" t="s">
        <v>53</v>
      </c>
      <c r="AE111" s="103" t="s">
        <v>53</v>
      </c>
      <c r="AF111" s="103" t="s">
        <v>53</v>
      </c>
      <c r="AG111" s="103" t="s">
        <v>53</v>
      </c>
      <c r="AH111" s="103" t="s">
        <v>53</v>
      </c>
      <c r="AI111" s="103">
        <f t="shared" ref="AI111:BR111" si="78">+AI112*3</f>
        <v>6.1978839445773453</v>
      </c>
      <c r="AJ111" s="101">
        <f t="shared" si="78"/>
        <v>8.20455412326592</v>
      </c>
      <c r="AK111" s="103">
        <f t="shared" si="78"/>
        <v>7.4993321616397459</v>
      </c>
      <c r="AL111" s="101">
        <f t="shared" si="78"/>
        <v>8.2515325906506103</v>
      </c>
      <c r="AM111" s="103">
        <f t="shared" si="78"/>
        <v>8.8753824091778206</v>
      </c>
      <c r="AN111" s="101">
        <f t="shared" si="78"/>
        <v>8.5173106575963722</v>
      </c>
      <c r="AO111" s="101">
        <f t="shared" si="78"/>
        <v>6.8463901689708138</v>
      </c>
      <c r="AP111" s="101">
        <f t="shared" si="78"/>
        <v>8.0895698694628724</v>
      </c>
      <c r="AQ111" s="101">
        <f t="shared" si="78"/>
        <v>8.979697910200704</v>
      </c>
      <c r="AR111" s="101">
        <f t="shared" si="78"/>
        <v>6.6745352564102562</v>
      </c>
      <c r="AS111" s="103">
        <f t="shared" si="78"/>
        <v>7.1158967338157639</v>
      </c>
      <c r="AT111" s="103">
        <f t="shared" si="78"/>
        <v>6.2149079754601226</v>
      </c>
      <c r="AU111" s="103">
        <f t="shared" si="78"/>
        <v>7.6395498030388307</v>
      </c>
      <c r="AV111" s="101">
        <f t="shared" si="78"/>
        <v>5.6794728727699875</v>
      </c>
      <c r="AW111" s="101">
        <f t="shared" si="78"/>
        <v>4.8169442974463266</v>
      </c>
      <c r="AX111" s="101">
        <f t="shared" si="78"/>
        <v>5.0693128478404326</v>
      </c>
      <c r="AY111" s="101">
        <f t="shared" si="78"/>
        <v>6.6433101760946389</v>
      </c>
      <c r="AZ111" s="101">
        <f t="shared" si="78"/>
        <v>5.5952616426756983</v>
      </c>
      <c r="BA111" s="101">
        <f t="shared" si="78"/>
        <v>6.2820059484467947</v>
      </c>
      <c r="BB111" s="101">
        <f t="shared" si="78"/>
        <v>6.0437792749438559</v>
      </c>
      <c r="BC111" s="101">
        <f t="shared" si="78"/>
        <v>7.3267459459459463</v>
      </c>
      <c r="BD111" s="101">
        <f t="shared" si="78"/>
        <v>6.1776688938381588</v>
      </c>
      <c r="BE111" s="101">
        <f t="shared" si="78"/>
        <v>6.2548151332760114</v>
      </c>
      <c r="BF111" s="101">
        <f t="shared" si="78"/>
        <v>7.285139710942877</v>
      </c>
      <c r="BG111" s="101">
        <f t="shared" si="78"/>
        <v>10.357055024541463</v>
      </c>
      <c r="BH111" s="101">
        <f t="shared" si="78"/>
        <v>9.5099213551119171</v>
      </c>
      <c r="BI111" s="102">
        <f t="shared" si="78"/>
        <v>9.7575420797786485</v>
      </c>
      <c r="BJ111" s="101">
        <f t="shared" si="78"/>
        <v>11.423811300054854</v>
      </c>
      <c r="BK111" s="101">
        <f t="shared" si="78"/>
        <v>11.350232993551071</v>
      </c>
      <c r="BL111" s="101">
        <f t="shared" si="78"/>
        <v>10.590034629464727</v>
      </c>
      <c r="BM111" s="101">
        <f t="shared" si="78"/>
        <v>11.369098469098471</v>
      </c>
      <c r="BN111" s="101">
        <f t="shared" si="78"/>
        <v>12.076019426207395</v>
      </c>
      <c r="BO111" s="101">
        <f t="shared" si="78"/>
        <v>12.611341132587317</v>
      </c>
      <c r="BP111" s="102">
        <f t="shared" si="78"/>
        <v>11.156457179548921</v>
      </c>
      <c r="BQ111" s="101">
        <f t="shared" si="78"/>
        <v>10.711906513409962</v>
      </c>
      <c r="BR111" s="101">
        <f t="shared" si="78"/>
        <v>11.518868649827159</v>
      </c>
      <c r="BS111" s="101">
        <f t="shared" ref="BS111:CA111" si="79">+BS112*3</f>
        <v>12.075454192673888</v>
      </c>
      <c r="BT111" s="101">
        <f t="shared" si="79"/>
        <v>10.081295401494696</v>
      </c>
      <c r="BU111" s="101">
        <f t="shared" si="79"/>
        <v>10.747634338109984</v>
      </c>
      <c r="BV111" s="101">
        <f t="shared" si="79"/>
        <v>10.341943736346538</v>
      </c>
      <c r="BW111" s="103">
        <f t="shared" si="79"/>
        <v>11.123231542553347</v>
      </c>
      <c r="BX111" s="103">
        <f t="shared" si="79"/>
        <v>10.411197337995601</v>
      </c>
      <c r="BY111" s="103">
        <f t="shared" si="79"/>
        <v>11.919342067963285</v>
      </c>
      <c r="BZ111" s="101">
        <f t="shared" si="79"/>
        <v>11.296896640833618</v>
      </c>
      <c r="CA111" s="101">
        <f t="shared" si="79"/>
        <v>18.499525733494593</v>
      </c>
      <c r="CB111" s="101">
        <f>+CB112*3</f>
        <v>16.276469348598315</v>
      </c>
      <c r="CC111" s="403">
        <f>+CC112*3</f>
        <v>17.110465297472498</v>
      </c>
      <c r="CD111" s="403">
        <f>+CD112*3</f>
        <v>17.507149139836603</v>
      </c>
      <c r="CE111" s="376">
        <f>+CE112*3</f>
        <v>22.429570774169058</v>
      </c>
    </row>
    <row r="112" spans="1:96" x14ac:dyDescent="0.2">
      <c r="A112" s="47" t="s">
        <v>149</v>
      </c>
      <c r="B112" s="48"/>
      <c r="C112" s="103" t="s">
        <v>53</v>
      </c>
      <c r="D112" s="103" t="s">
        <v>53</v>
      </c>
      <c r="E112" s="103" t="s">
        <v>53</v>
      </c>
      <c r="F112" s="103" t="s">
        <v>53</v>
      </c>
      <c r="G112" s="103" t="s">
        <v>53</v>
      </c>
      <c r="H112" s="103" t="s">
        <v>53</v>
      </c>
      <c r="I112" s="103" t="s">
        <v>53</v>
      </c>
      <c r="J112" s="103" t="s">
        <v>53</v>
      </c>
      <c r="K112" s="103" t="s">
        <v>53</v>
      </c>
      <c r="L112" s="103" t="s">
        <v>53</v>
      </c>
      <c r="M112" s="103" t="s">
        <v>53</v>
      </c>
      <c r="N112" s="103" t="s">
        <v>53</v>
      </c>
      <c r="O112" s="103" t="s">
        <v>53</v>
      </c>
      <c r="P112" s="103" t="s">
        <v>53</v>
      </c>
      <c r="Q112" s="103" t="s">
        <v>53</v>
      </c>
      <c r="R112" s="103" t="s">
        <v>53</v>
      </c>
      <c r="S112" s="103" t="s">
        <v>53</v>
      </c>
      <c r="T112" s="103" t="s">
        <v>53</v>
      </c>
      <c r="U112" s="103" t="s">
        <v>53</v>
      </c>
      <c r="V112" s="103" t="s">
        <v>53</v>
      </c>
      <c r="W112" s="103" t="s">
        <v>53</v>
      </c>
      <c r="X112" s="103" t="s">
        <v>53</v>
      </c>
      <c r="Y112" s="103" t="s">
        <v>53</v>
      </c>
      <c r="Z112" s="103" t="s">
        <v>53</v>
      </c>
      <c r="AA112" s="103" t="s">
        <v>53</v>
      </c>
      <c r="AB112" s="103" t="s">
        <v>53</v>
      </c>
      <c r="AC112" s="103" t="s">
        <v>53</v>
      </c>
      <c r="AD112" s="103" t="s">
        <v>53</v>
      </c>
      <c r="AE112" s="103" t="s">
        <v>53</v>
      </c>
      <c r="AF112" s="103" t="s">
        <v>53</v>
      </c>
      <c r="AG112" s="103" t="s">
        <v>53</v>
      </c>
      <c r="AH112" s="103" t="s">
        <v>53</v>
      </c>
      <c r="AI112" s="101">
        <f t="shared" ref="AI112:CE112" si="80">(AI103-AI105)/((AI59+AH59)/2*1000)/3</f>
        <v>2.0659613148591149</v>
      </c>
      <c r="AJ112" s="101">
        <f t="shared" si="80"/>
        <v>2.7348513744219733</v>
      </c>
      <c r="AK112" s="101">
        <f t="shared" si="80"/>
        <v>2.4997773872132485</v>
      </c>
      <c r="AL112" s="101">
        <f t="shared" si="80"/>
        <v>2.7505108635502036</v>
      </c>
      <c r="AM112" s="101">
        <f t="shared" si="80"/>
        <v>2.9584608030592734</v>
      </c>
      <c r="AN112" s="101">
        <f t="shared" si="80"/>
        <v>2.8391035525321242</v>
      </c>
      <c r="AO112" s="101">
        <f t="shared" si="80"/>
        <v>2.2821300563236044</v>
      </c>
      <c r="AP112" s="101">
        <f t="shared" si="80"/>
        <v>2.6965232898209575</v>
      </c>
      <c r="AQ112" s="101">
        <f t="shared" si="80"/>
        <v>2.993232636733568</v>
      </c>
      <c r="AR112" s="101">
        <f t="shared" si="80"/>
        <v>2.2248450854700854</v>
      </c>
      <c r="AS112" s="103">
        <f t="shared" si="80"/>
        <v>2.371965577938588</v>
      </c>
      <c r="AT112" s="103">
        <f t="shared" si="80"/>
        <v>2.0716359918200409</v>
      </c>
      <c r="AU112" s="103">
        <f t="shared" si="80"/>
        <v>2.5465166010129434</v>
      </c>
      <c r="AV112" s="101">
        <f t="shared" si="80"/>
        <v>1.8931576242566626</v>
      </c>
      <c r="AW112" s="101">
        <f t="shared" si="80"/>
        <v>1.6056480991487756</v>
      </c>
      <c r="AX112" s="101">
        <f t="shared" si="80"/>
        <v>1.6897709492801443</v>
      </c>
      <c r="AY112" s="101">
        <f t="shared" si="80"/>
        <v>2.2144367253648798</v>
      </c>
      <c r="AZ112" s="101">
        <f t="shared" si="80"/>
        <v>1.8650872142252328</v>
      </c>
      <c r="BA112" s="101">
        <f t="shared" si="80"/>
        <v>2.0940019828155982</v>
      </c>
      <c r="BB112" s="101">
        <f t="shared" si="80"/>
        <v>2.014593091647952</v>
      </c>
      <c r="BC112" s="101">
        <f t="shared" si="80"/>
        <v>2.4422486486486488</v>
      </c>
      <c r="BD112" s="101">
        <f t="shared" si="80"/>
        <v>2.0592229646127196</v>
      </c>
      <c r="BE112" s="101">
        <f t="shared" si="80"/>
        <v>2.0849383777586703</v>
      </c>
      <c r="BF112" s="101">
        <f t="shared" si="80"/>
        <v>2.4283799036476257</v>
      </c>
      <c r="BG112" s="101">
        <f t="shared" si="80"/>
        <v>3.4523516748471543</v>
      </c>
      <c r="BH112" s="101">
        <f t="shared" si="80"/>
        <v>3.1699737850373055</v>
      </c>
      <c r="BI112" s="102">
        <f t="shared" si="80"/>
        <v>3.2525140265928827</v>
      </c>
      <c r="BJ112" s="101">
        <f t="shared" si="80"/>
        <v>3.8079371000182847</v>
      </c>
      <c r="BK112" s="101">
        <f t="shared" si="80"/>
        <v>3.7834109978503569</v>
      </c>
      <c r="BL112" s="101">
        <f t="shared" si="80"/>
        <v>3.5300115431549091</v>
      </c>
      <c r="BM112" s="101">
        <f t="shared" si="80"/>
        <v>3.7896994896994904</v>
      </c>
      <c r="BN112" s="101">
        <f t="shared" si="80"/>
        <v>4.0253398087357981</v>
      </c>
      <c r="BO112" s="101">
        <f t="shared" si="80"/>
        <v>4.2037803775291058</v>
      </c>
      <c r="BP112" s="102">
        <f t="shared" si="80"/>
        <v>3.7188190598496402</v>
      </c>
      <c r="BQ112" s="101">
        <f t="shared" si="80"/>
        <v>3.5706355044699873</v>
      </c>
      <c r="BR112" s="101">
        <f t="shared" si="80"/>
        <v>3.8396228832757195</v>
      </c>
      <c r="BS112" s="101">
        <f t="shared" si="80"/>
        <v>4.0251513975579627</v>
      </c>
      <c r="BT112" s="101">
        <f t="shared" si="80"/>
        <v>3.3604318004982319</v>
      </c>
      <c r="BU112" s="101">
        <f t="shared" si="80"/>
        <v>3.5825447793699947</v>
      </c>
      <c r="BV112" s="101">
        <f t="shared" si="80"/>
        <v>3.4473145787821795</v>
      </c>
      <c r="BW112" s="103">
        <f t="shared" si="80"/>
        <v>3.7077438475177824</v>
      </c>
      <c r="BX112" s="103">
        <f t="shared" si="80"/>
        <v>3.4703991126652003</v>
      </c>
      <c r="BY112" s="103">
        <f t="shared" si="80"/>
        <v>3.9731140226544284</v>
      </c>
      <c r="BZ112" s="101">
        <f t="shared" si="80"/>
        <v>3.7656322136112057</v>
      </c>
      <c r="CA112" s="101">
        <f t="shared" si="80"/>
        <v>6.1665085778315314</v>
      </c>
      <c r="CB112" s="101">
        <f t="shared" si="80"/>
        <v>5.4254897828661051</v>
      </c>
      <c r="CC112" s="403">
        <f t="shared" si="80"/>
        <v>5.7034884324908326</v>
      </c>
      <c r="CD112" s="403">
        <f t="shared" si="80"/>
        <v>5.8357163799455343</v>
      </c>
      <c r="CE112" s="376">
        <f t="shared" si="80"/>
        <v>7.4765235913896859</v>
      </c>
    </row>
    <row r="113" spans="1:84" x14ac:dyDescent="0.2">
      <c r="A113" s="47" t="s">
        <v>150</v>
      </c>
      <c r="B113" s="48"/>
      <c r="C113" s="103" t="s">
        <v>53</v>
      </c>
      <c r="D113" s="103" t="s">
        <v>53</v>
      </c>
      <c r="E113" s="103" t="s">
        <v>53</v>
      </c>
      <c r="F113" s="103" t="s">
        <v>53</v>
      </c>
      <c r="G113" s="103" t="s">
        <v>53</v>
      </c>
      <c r="H113" s="103" t="s">
        <v>53</v>
      </c>
      <c r="I113" s="103" t="s">
        <v>53</v>
      </c>
      <c r="J113" s="103" t="s">
        <v>53</v>
      </c>
      <c r="K113" s="103" t="s">
        <v>53</v>
      </c>
      <c r="L113" s="103" t="s">
        <v>53</v>
      </c>
      <c r="M113" s="103" t="s">
        <v>53</v>
      </c>
      <c r="N113" s="103" t="s">
        <v>53</v>
      </c>
      <c r="O113" s="103" t="s">
        <v>53</v>
      </c>
      <c r="P113" s="103" t="s">
        <v>53</v>
      </c>
      <c r="Q113" s="103" t="s">
        <v>53</v>
      </c>
      <c r="R113" s="103" t="s">
        <v>53</v>
      </c>
      <c r="S113" s="103" t="s">
        <v>53</v>
      </c>
      <c r="T113" s="103" t="s">
        <v>53</v>
      </c>
      <c r="U113" s="103" t="s">
        <v>53</v>
      </c>
      <c r="V113" s="103" t="s">
        <v>53</v>
      </c>
      <c r="W113" s="103" t="s">
        <v>53</v>
      </c>
      <c r="X113" s="103" t="s">
        <v>53</v>
      </c>
      <c r="Y113" s="103" t="s">
        <v>53</v>
      </c>
      <c r="Z113" s="103" t="s">
        <v>53</v>
      </c>
      <c r="AA113" s="103" t="s">
        <v>53</v>
      </c>
      <c r="AB113" s="103" t="s">
        <v>53</v>
      </c>
      <c r="AC113" s="103" t="s">
        <v>53</v>
      </c>
      <c r="AD113" s="103" t="s">
        <v>53</v>
      </c>
      <c r="AE113" s="103" t="s">
        <v>53</v>
      </c>
      <c r="AF113" s="103" t="s">
        <v>53</v>
      </c>
      <c r="AG113" s="103" t="s">
        <v>53</v>
      </c>
      <c r="AH113" s="103" t="s">
        <v>53</v>
      </c>
      <c r="AI113" s="103">
        <f t="shared" ref="AI113:BT113" si="81">+AI112/(AI102/3)</f>
        <v>0.10077860072483487</v>
      </c>
      <c r="AJ113" s="101">
        <f t="shared" si="81"/>
        <v>0.14024878843189606</v>
      </c>
      <c r="AK113" s="103">
        <f t="shared" si="81"/>
        <v>0.11362624487332948</v>
      </c>
      <c r="AL113" s="101">
        <f t="shared" si="81"/>
        <v>0.13202452145040977</v>
      </c>
      <c r="AM113" s="103">
        <f t="shared" si="81"/>
        <v>0.14431516112484261</v>
      </c>
      <c r="AN113" s="101">
        <f t="shared" si="81"/>
        <v>0.14314807827893064</v>
      </c>
      <c r="AO113" s="101">
        <f t="shared" si="81"/>
        <v>0.10373318437834565</v>
      </c>
      <c r="AP113" s="101">
        <f t="shared" si="81"/>
        <v>0.1273948010939035</v>
      </c>
      <c r="AQ113" s="101">
        <f t="shared" si="81"/>
        <v>0.14367516656321128</v>
      </c>
      <c r="AR113" s="101">
        <f t="shared" si="81"/>
        <v>0.11312771621034332</v>
      </c>
      <c r="AS113" s="103">
        <f t="shared" si="81"/>
        <v>0.10781661717902673</v>
      </c>
      <c r="AT113" s="103">
        <f t="shared" si="81"/>
        <v>9.787256654267909E-2</v>
      </c>
      <c r="AU113" s="103">
        <f t="shared" si="81"/>
        <v>0.12030787091399732</v>
      </c>
      <c r="AV113" s="101">
        <f t="shared" si="81"/>
        <v>9.8773441265565004E-2</v>
      </c>
      <c r="AW113" s="101">
        <f t="shared" si="81"/>
        <v>7.4106835345328095E-2</v>
      </c>
      <c r="AX113" s="101">
        <f t="shared" si="81"/>
        <v>8.2427851184397286E-2</v>
      </c>
      <c r="AY113" s="101">
        <f t="shared" si="81"/>
        <v>0.1080213036763356</v>
      </c>
      <c r="AZ113" s="101">
        <f t="shared" si="81"/>
        <v>9.4834943096198276E-2</v>
      </c>
      <c r="BA113" s="101">
        <f t="shared" si="81"/>
        <v>9.5181908309799917E-2</v>
      </c>
      <c r="BB113" s="101">
        <f t="shared" si="81"/>
        <v>9.8272833738924481E-2</v>
      </c>
      <c r="BC113" s="101">
        <f t="shared" si="81"/>
        <v>0.11817332170880558</v>
      </c>
      <c r="BD113" s="101">
        <f t="shared" si="81"/>
        <v>0.10743771989283754</v>
      </c>
      <c r="BE113" s="101">
        <f t="shared" si="81"/>
        <v>9.4769926261757745E-2</v>
      </c>
      <c r="BF113" s="101">
        <f t="shared" si="81"/>
        <v>0.11845755627549394</v>
      </c>
      <c r="BG113" s="101">
        <f t="shared" si="81"/>
        <v>0.16840739877303193</v>
      </c>
      <c r="BH113" s="101">
        <f t="shared" si="81"/>
        <v>0.1625627582070413</v>
      </c>
      <c r="BI113" s="102">
        <f t="shared" si="81"/>
        <v>0.14784154666331284</v>
      </c>
      <c r="BJ113" s="101">
        <f t="shared" si="81"/>
        <v>0.18278098080087768</v>
      </c>
      <c r="BK113" s="101">
        <f t="shared" si="81"/>
        <v>0.18917054989251786</v>
      </c>
      <c r="BL113" s="101">
        <f t="shared" si="81"/>
        <v>0.17219568503194679</v>
      </c>
      <c r="BM113" s="101">
        <f t="shared" si="81"/>
        <v>0.17225906771361321</v>
      </c>
      <c r="BN113" s="101">
        <f t="shared" si="81"/>
        <v>0.19017353427098257</v>
      </c>
      <c r="BO113" s="101">
        <f t="shared" si="81"/>
        <v>0.1986037973635798</v>
      </c>
      <c r="BP113" s="102">
        <f t="shared" si="81"/>
        <v>0.19235270999222279</v>
      </c>
      <c r="BQ113" s="101">
        <f t="shared" si="81"/>
        <v>0.16479856174476865</v>
      </c>
      <c r="BR113" s="101">
        <f t="shared" si="81"/>
        <v>0.18430189839723454</v>
      </c>
      <c r="BS113" s="101">
        <f t="shared" si="81"/>
        <v>0.19476539020441755</v>
      </c>
      <c r="BT113" s="101">
        <f t="shared" si="81"/>
        <v>0.17086941358465585</v>
      </c>
      <c r="BU113" s="101">
        <f t="shared" ref="BU113:BZ113" si="82">+BU112/(BU102/3)</f>
        <v>0.16534822058630744</v>
      </c>
      <c r="BV113" s="101">
        <f t="shared" si="82"/>
        <v>0.16816168676986243</v>
      </c>
      <c r="BW113" s="103">
        <f t="shared" si="82"/>
        <v>0.17655923083418013</v>
      </c>
      <c r="BX113" s="103">
        <f t="shared" si="82"/>
        <v>0.18106430153035827</v>
      </c>
      <c r="BY113" s="103">
        <f t="shared" si="82"/>
        <v>0.18059609193883766</v>
      </c>
      <c r="BZ113" s="101">
        <f t="shared" si="82"/>
        <v>0.18368937627371734</v>
      </c>
      <c r="CA113" s="101">
        <f>+CA112/(CA102/3)</f>
        <v>0.29364326561102533</v>
      </c>
      <c r="CB113" s="101">
        <f>+CB112/(CB102/3)</f>
        <v>0.27823024527518486</v>
      </c>
      <c r="CC113" s="403">
        <f>+CC112/(CC102/3)</f>
        <v>0.25924947420412875</v>
      </c>
      <c r="CD113" s="403">
        <f>+CD112/(CD102/3)</f>
        <v>0.28011438623738566</v>
      </c>
      <c r="CE113" s="376">
        <f>+CE112/(CE102/3)</f>
        <v>0.36470846787266759</v>
      </c>
    </row>
    <row r="114" spans="1:84" x14ac:dyDescent="0.2">
      <c r="A114" s="47" t="s">
        <v>237</v>
      </c>
      <c r="B114" s="48"/>
      <c r="C114" s="97" t="s">
        <v>53</v>
      </c>
      <c r="D114" s="97" t="s">
        <v>53</v>
      </c>
      <c r="E114" s="97" t="s">
        <v>53</v>
      </c>
      <c r="F114" s="97" t="s">
        <v>53</v>
      </c>
      <c r="G114" s="97" t="s">
        <v>53</v>
      </c>
      <c r="H114" s="97" t="s">
        <v>53</v>
      </c>
      <c r="I114" s="97" t="s">
        <v>53</v>
      </c>
      <c r="J114" s="97" t="s">
        <v>53</v>
      </c>
      <c r="K114" s="97" t="s">
        <v>53</v>
      </c>
      <c r="L114" s="97" t="s">
        <v>53</v>
      </c>
      <c r="M114" s="97" t="s">
        <v>53</v>
      </c>
      <c r="N114" s="97" t="s">
        <v>53</v>
      </c>
      <c r="O114" s="97" t="s">
        <v>53</v>
      </c>
      <c r="P114" s="97" t="s">
        <v>53</v>
      </c>
      <c r="Q114" s="97" t="s">
        <v>53</v>
      </c>
      <c r="R114" s="97" t="s">
        <v>53</v>
      </c>
      <c r="S114" s="97" t="s">
        <v>53</v>
      </c>
      <c r="T114" s="97" t="s">
        <v>53</v>
      </c>
      <c r="U114" s="97" t="s">
        <v>53</v>
      </c>
      <c r="V114" s="97" t="s">
        <v>53</v>
      </c>
      <c r="W114" s="97" t="s">
        <v>53</v>
      </c>
      <c r="X114" s="97" t="s">
        <v>53</v>
      </c>
      <c r="Y114" s="97" t="s">
        <v>53</v>
      </c>
      <c r="Z114" s="97" t="s">
        <v>53</v>
      </c>
      <c r="AA114" s="97" t="s">
        <v>53</v>
      </c>
      <c r="AB114" s="97" t="s">
        <v>53</v>
      </c>
      <c r="AC114" s="97" t="s">
        <v>53</v>
      </c>
      <c r="AD114" s="97" t="s">
        <v>53</v>
      </c>
      <c r="AE114" s="97" t="s">
        <v>53</v>
      </c>
      <c r="AF114" s="97" t="s">
        <v>53</v>
      </c>
      <c r="AG114" s="97" t="s">
        <v>53</v>
      </c>
      <c r="AH114" s="97" t="s">
        <v>53</v>
      </c>
      <c r="AI114" s="97" t="s">
        <v>53</v>
      </c>
      <c r="AJ114" s="97" t="s">
        <v>53</v>
      </c>
      <c r="AK114" s="97" t="s">
        <v>53</v>
      </c>
      <c r="AL114" s="97" t="s">
        <v>53</v>
      </c>
      <c r="AM114" s="97" t="s">
        <v>53</v>
      </c>
      <c r="AN114" s="97" t="s">
        <v>53</v>
      </c>
      <c r="AO114" s="97" t="s">
        <v>53</v>
      </c>
      <c r="AP114" s="97" t="s">
        <v>53</v>
      </c>
      <c r="AQ114" s="97" t="s">
        <v>53</v>
      </c>
      <c r="AR114" s="97" t="s">
        <v>53</v>
      </c>
      <c r="AS114" s="97" t="s">
        <v>53</v>
      </c>
      <c r="AT114" s="97" t="s">
        <v>53</v>
      </c>
      <c r="AU114" s="97" t="s">
        <v>53</v>
      </c>
      <c r="AV114" s="97" t="s">
        <v>53</v>
      </c>
      <c r="AW114" s="97" t="s">
        <v>53</v>
      </c>
      <c r="AX114" s="97" t="s">
        <v>53</v>
      </c>
      <c r="AY114" s="145">
        <f t="shared" ref="AY114:CD114" si="83">+AY9/AY109</f>
        <v>9.4374954076882405E-4</v>
      </c>
      <c r="AZ114" s="145">
        <f t="shared" si="83"/>
        <v>9.2343049586845398E-4</v>
      </c>
      <c r="BA114" s="145">
        <f t="shared" si="83"/>
        <v>9.2611600136730974E-4</v>
      </c>
      <c r="BB114" s="145">
        <f t="shared" si="83"/>
        <v>9.3128547152059038E-4</v>
      </c>
      <c r="BC114" s="145">
        <f t="shared" si="83"/>
        <v>9.0902503958867375E-4</v>
      </c>
      <c r="BD114" s="145">
        <f t="shared" si="83"/>
        <v>8.4769815403581918E-4</v>
      </c>
      <c r="BE114" s="145">
        <f t="shared" si="83"/>
        <v>9.4390821047663929E-4</v>
      </c>
      <c r="BF114" s="145">
        <f t="shared" si="83"/>
        <v>9.360922783208525E-4</v>
      </c>
      <c r="BG114" s="145">
        <f t="shared" si="83"/>
        <v>8.8172943449837536E-4</v>
      </c>
      <c r="BH114" s="145">
        <f t="shared" si="83"/>
        <v>8.5990467566831111E-4</v>
      </c>
      <c r="BI114" s="145">
        <f t="shared" si="83"/>
        <v>7.8038794218318857E-4</v>
      </c>
      <c r="BJ114" s="145">
        <f t="shared" si="83"/>
        <v>7.542240125874767E-4</v>
      </c>
      <c r="BK114" s="145">
        <f t="shared" si="83"/>
        <v>8.6824200882149223E-4</v>
      </c>
      <c r="BL114" s="145">
        <f t="shared" si="83"/>
        <v>8.4451502483952855E-4</v>
      </c>
      <c r="BM114" s="145">
        <f t="shared" si="83"/>
        <v>9.0875548663505086E-4</v>
      </c>
      <c r="BN114" s="145">
        <f t="shared" si="83"/>
        <v>9.1117017644829455E-4</v>
      </c>
      <c r="BO114" s="145">
        <f t="shared" si="83"/>
        <v>9.4995016674283522E-4</v>
      </c>
      <c r="BP114" s="146">
        <f t="shared" si="83"/>
        <v>9.2348155959480233E-4</v>
      </c>
      <c r="BQ114" s="145">
        <f t="shared" si="83"/>
        <v>9.4007476318015021E-4</v>
      </c>
      <c r="BR114" s="145">
        <f t="shared" si="83"/>
        <v>1.0307662651937992E-3</v>
      </c>
      <c r="BS114" s="145">
        <f t="shared" si="83"/>
        <v>1.0004406921875039E-3</v>
      </c>
      <c r="BT114" s="145">
        <f t="shared" si="83"/>
        <v>9.3409796570331706E-4</v>
      </c>
      <c r="BU114" s="145">
        <f t="shared" si="83"/>
        <v>9.8595402704842149E-4</v>
      </c>
      <c r="BV114" s="145">
        <f t="shared" si="83"/>
        <v>9.8292794507882637E-4</v>
      </c>
      <c r="BW114" s="146">
        <f t="shared" si="83"/>
        <v>9.4062409432394756E-4</v>
      </c>
      <c r="BX114" s="146">
        <f t="shared" si="83"/>
        <v>1.0037031110236092E-3</v>
      </c>
      <c r="BY114" s="146">
        <f t="shared" si="83"/>
        <v>1.0659421406428746E-3</v>
      </c>
      <c r="BZ114" s="145">
        <f t="shared" si="83"/>
        <v>9.8056357248583591E-4</v>
      </c>
      <c r="CA114" s="145">
        <f t="shared" si="83"/>
        <v>1.0831242380396149E-3</v>
      </c>
      <c r="CB114" s="145">
        <f t="shared" si="83"/>
        <v>1.0771569068946814E-3</v>
      </c>
      <c r="CC114" s="145">
        <f t="shared" si="83"/>
        <v>1.1358265990156846E-3</v>
      </c>
      <c r="CD114" s="145">
        <f t="shared" si="83"/>
        <v>1.1291471091895236E-3</v>
      </c>
      <c r="CE114" s="348">
        <f t="shared" ref="CE114" si="84">+CE9/CE109</f>
        <v>1.2201044730129592E-3</v>
      </c>
    </row>
    <row r="115" spans="1:84" ht="15" x14ac:dyDescent="0.2">
      <c r="A115" s="47" t="s">
        <v>232</v>
      </c>
      <c r="B115" s="48"/>
      <c r="C115" s="49">
        <f t="shared" ref="C115:AH115" si="85">C9*1000000/(C103-C104-C105)</f>
        <v>97.760124936209976</v>
      </c>
      <c r="D115" s="49">
        <f t="shared" si="85"/>
        <v>91.844868817800574</v>
      </c>
      <c r="E115" s="49">
        <f t="shared" si="85"/>
        <v>67.704807041299929</v>
      </c>
      <c r="F115" s="49">
        <f t="shared" si="85"/>
        <v>117.18977139048795</v>
      </c>
      <c r="G115" s="49">
        <f t="shared" si="85"/>
        <v>112.99943219190789</v>
      </c>
      <c r="H115" s="49">
        <f t="shared" si="85"/>
        <v>108.7091564169462</v>
      </c>
      <c r="I115" s="49">
        <f t="shared" si="85"/>
        <v>106.99218227577235</v>
      </c>
      <c r="J115" s="49">
        <f t="shared" si="85"/>
        <v>106.99137215482908</v>
      </c>
      <c r="K115" s="49">
        <f t="shared" si="85"/>
        <v>116.56101376915933</v>
      </c>
      <c r="L115" s="49">
        <f t="shared" si="85"/>
        <v>114.86291486291486</v>
      </c>
      <c r="M115" s="49">
        <f t="shared" si="85"/>
        <v>114.62106276649398</v>
      </c>
      <c r="N115" s="49">
        <f t="shared" si="85"/>
        <v>110.60058850436599</v>
      </c>
      <c r="O115" s="49">
        <f t="shared" si="85"/>
        <v>114.35267057968342</v>
      </c>
      <c r="P115" s="49">
        <f t="shared" si="85"/>
        <v>117.38462525618911</v>
      </c>
      <c r="Q115" s="49">
        <f t="shared" si="85"/>
        <v>114.04127253024933</v>
      </c>
      <c r="R115" s="49">
        <f t="shared" si="85"/>
        <v>112.56344485073404</v>
      </c>
      <c r="S115" s="49">
        <f t="shared" si="85"/>
        <v>111.89786666262339</v>
      </c>
      <c r="T115" s="49">
        <f t="shared" si="85"/>
        <v>113.36673569314644</v>
      </c>
      <c r="U115" s="49">
        <f t="shared" si="85"/>
        <v>115.53735748176902</v>
      </c>
      <c r="V115" s="49">
        <f t="shared" si="85"/>
        <v>118.38559434241475</v>
      </c>
      <c r="W115" s="49">
        <f t="shared" si="85"/>
        <v>131.5426804008008</v>
      </c>
      <c r="X115" s="49">
        <f t="shared" si="85"/>
        <v>126.43059686465324</v>
      </c>
      <c r="Y115" s="49">
        <f t="shared" si="85"/>
        <v>119.08448395205654</v>
      </c>
      <c r="Z115" s="49">
        <f t="shared" si="85"/>
        <v>119.97590328825353</v>
      </c>
      <c r="AA115" s="49">
        <f t="shared" si="85"/>
        <v>115.09015849753544</v>
      </c>
      <c r="AB115" s="49">
        <f t="shared" si="85"/>
        <v>109.75491307022372</v>
      </c>
      <c r="AC115" s="49">
        <f t="shared" si="85"/>
        <v>119.89073801414854</v>
      </c>
      <c r="AD115" s="49">
        <f t="shared" si="85"/>
        <v>111.02444645881204</v>
      </c>
      <c r="AE115" s="49">
        <f t="shared" si="85"/>
        <v>114.65684316423298</v>
      </c>
      <c r="AF115" s="49">
        <f t="shared" si="85"/>
        <v>103.32699229495408</v>
      </c>
      <c r="AG115" s="49">
        <f t="shared" si="85"/>
        <v>107.8031729326905</v>
      </c>
      <c r="AH115" s="49">
        <f t="shared" si="85"/>
        <v>97.980555432172636</v>
      </c>
      <c r="AI115" s="49">
        <f t="shared" ref="AI115:BG115" si="86">AI9*1000000/(AI103-AI104-AI105)</f>
        <v>95.884192196136979</v>
      </c>
      <c r="AJ115" s="49">
        <f t="shared" si="86"/>
        <v>94.449769803805722</v>
      </c>
      <c r="AK115" s="49">
        <f t="shared" si="86"/>
        <v>93.34493994447061</v>
      </c>
      <c r="AL115" s="49">
        <f t="shared" si="86"/>
        <v>92.141843074136617</v>
      </c>
      <c r="AM115" s="49">
        <f t="shared" si="86"/>
        <v>90.093939185662251</v>
      </c>
      <c r="AN115" s="49">
        <f t="shared" si="86"/>
        <v>89.220938982791168</v>
      </c>
      <c r="AO115" s="49">
        <f t="shared" si="86"/>
        <v>86.759426953984971</v>
      </c>
      <c r="AP115" s="49">
        <f t="shared" si="86"/>
        <v>84.64178732451802</v>
      </c>
      <c r="AQ115" s="49">
        <f t="shared" si="86"/>
        <v>82.40034472070819</v>
      </c>
      <c r="AR115" s="49">
        <f t="shared" si="86"/>
        <v>78.398004718514571</v>
      </c>
      <c r="AS115" s="49">
        <f t="shared" si="86"/>
        <v>88.325099961931883</v>
      </c>
      <c r="AT115" s="49">
        <f t="shared" si="86"/>
        <v>83.02924310962382</v>
      </c>
      <c r="AU115" s="49">
        <f t="shared" si="86"/>
        <v>79.507017230446678</v>
      </c>
      <c r="AV115" s="49">
        <f t="shared" si="86"/>
        <v>80.059043544614156</v>
      </c>
      <c r="AW115" s="49">
        <f t="shared" si="86"/>
        <v>78.192947270517422</v>
      </c>
      <c r="AX115" s="49">
        <f t="shared" si="86"/>
        <v>73.709523928612327</v>
      </c>
      <c r="AY115" s="49">
        <f t="shared" si="86"/>
        <v>72.715285722596036</v>
      </c>
      <c r="AZ115" s="49">
        <f t="shared" si="86"/>
        <v>71.516166170743091</v>
      </c>
      <c r="BA115" s="49">
        <f t="shared" si="86"/>
        <v>74.977281883589271</v>
      </c>
      <c r="BB115" s="49">
        <f t="shared" si="86"/>
        <v>72.207907588502678</v>
      </c>
      <c r="BC115" s="49">
        <f t="shared" si="86"/>
        <v>71.868895750841673</v>
      </c>
      <c r="BD115" s="49">
        <f t="shared" si="86"/>
        <v>71.144238169636367</v>
      </c>
      <c r="BE115" s="49">
        <f t="shared" si="86"/>
        <v>70.175375135309153</v>
      </c>
      <c r="BF115" s="49">
        <f t="shared" si="86"/>
        <v>64.831314831314828</v>
      </c>
      <c r="BG115" s="49">
        <f t="shared" si="86"/>
        <v>58.98432675842416</v>
      </c>
      <c r="BH115" s="49">
        <f t="shared" ref="BH115:CD115" si="87">BH9*1000000/((BH103-BH106)-BH104-BH105)</f>
        <v>55.266422038466324</v>
      </c>
      <c r="BI115" s="49">
        <f t="shared" si="87"/>
        <v>58.136972666274637</v>
      </c>
      <c r="BJ115" s="49">
        <f t="shared" si="87"/>
        <v>51.056469126247727</v>
      </c>
      <c r="BK115" s="49">
        <f t="shared" si="87"/>
        <v>47.049579178387468</v>
      </c>
      <c r="BL115" s="49">
        <f t="shared" si="87"/>
        <v>41.511558918192364</v>
      </c>
      <c r="BM115" s="49">
        <f t="shared" si="87"/>
        <v>38.638175640048175</v>
      </c>
      <c r="BN115" s="49">
        <f t="shared" si="87"/>
        <v>36.313166414332706</v>
      </c>
      <c r="BO115" s="49">
        <f t="shared" si="87"/>
        <v>34.744080520773508</v>
      </c>
      <c r="BP115" s="50">
        <f t="shared" si="87"/>
        <v>33.596781334188712</v>
      </c>
      <c r="BQ115" s="49">
        <f t="shared" si="87"/>
        <v>33.882846364052902</v>
      </c>
      <c r="BR115" s="49">
        <f t="shared" si="87"/>
        <v>33.174231425989092</v>
      </c>
      <c r="BS115" s="49">
        <f t="shared" si="87"/>
        <v>32.435049800745048</v>
      </c>
      <c r="BT115" s="49">
        <f t="shared" si="87"/>
        <v>30.422530468962986</v>
      </c>
      <c r="BU115" s="49">
        <f t="shared" si="87"/>
        <v>29.826933008194516</v>
      </c>
      <c r="BV115" s="49">
        <f t="shared" si="87"/>
        <v>31.593638344839825</v>
      </c>
      <c r="BW115" s="50">
        <f t="shared" si="87"/>
        <v>29.862626496351439</v>
      </c>
      <c r="BX115" s="50">
        <f t="shared" si="87"/>
        <v>28.02930670761064</v>
      </c>
      <c r="BY115" s="50">
        <f t="shared" si="87"/>
        <v>28.430299838289251</v>
      </c>
      <c r="BZ115" s="49">
        <f t="shared" si="87"/>
        <v>28.101661837252628</v>
      </c>
      <c r="CA115" s="49">
        <f t="shared" si="87"/>
        <v>30.356317691827698</v>
      </c>
      <c r="CB115" s="49">
        <f t="shared" si="87"/>
        <v>28.931347807803096</v>
      </c>
      <c r="CC115" s="394">
        <f t="shared" si="87"/>
        <v>27.457359113295411</v>
      </c>
      <c r="CD115" s="394">
        <f t="shared" si="87"/>
        <v>26.617192469420743</v>
      </c>
      <c r="CE115" s="363">
        <f t="shared" ref="CE115" si="88">CE9*1000000/((CE103-CE106)-CE104-CE105)</f>
        <v>26.914872999231772</v>
      </c>
    </row>
    <row r="116" spans="1:84" ht="15" x14ac:dyDescent="0.2">
      <c r="A116" s="47" t="s">
        <v>233</v>
      </c>
      <c r="B116" s="48"/>
      <c r="C116" s="49">
        <f t="shared" ref="C116:AH116" si="89">C11*1000000/(C103-C104-C105)</f>
        <v>80.544505450588105</v>
      </c>
      <c r="D116" s="49">
        <f t="shared" si="89"/>
        <v>72.782726232974028</v>
      </c>
      <c r="E116" s="49">
        <f t="shared" si="89"/>
        <v>55.328659517621453</v>
      </c>
      <c r="F116" s="49">
        <f t="shared" si="89"/>
        <v>101.53464925817086</v>
      </c>
      <c r="G116" s="49">
        <f t="shared" si="89"/>
        <v>98.382590216835226</v>
      </c>
      <c r="H116" s="49">
        <f t="shared" si="89"/>
        <v>94.732264877624544</v>
      </c>
      <c r="I116" s="49">
        <f t="shared" si="89"/>
        <v>91.794429111600152</v>
      </c>
      <c r="J116" s="49">
        <f t="shared" si="89"/>
        <v>95.188053518531206</v>
      </c>
      <c r="K116" s="49">
        <f t="shared" si="89"/>
        <v>102.84795332572882</v>
      </c>
      <c r="L116" s="49">
        <f t="shared" si="89"/>
        <v>101.01010101010101</v>
      </c>
      <c r="M116" s="49">
        <f t="shared" si="89"/>
        <v>101.24860544373634</v>
      </c>
      <c r="N116" s="49">
        <f t="shared" si="89"/>
        <v>97.287554702914534</v>
      </c>
      <c r="O116" s="49">
        <f t="shared" si="89"/>
        <v>100.89941521736772</v>
      </c>
      <c r="P116" s="49">
        <f t="shared" si="89"/>
        <v>101.15459668378998</v>
      </c>
      <c r="Q116" s="49">
        <f t="shared" si="89"/>
        <v>97.952462297766033</v>
      </c>
      <c r="R116" s="49">
        <f t="shared" si="89"/>
        <v>99.260492277465474</v>
      </c>
      <c r="S116" s="49">
        <f t="shared" si="89"/>
        <v>97.948539111185227</v>
      </c>
      <c r="T116" s="49">
        <f t="shared" si="89"/>
        <v>98.555001381479045</v>
      </c>
      <c r="U116" s="49">
        <f t="shared" si="89"/>
        <v>100.30963044965303</v>
      </c>
      <c r="V116" s="49">
        <f t="shared" si="89"/>
        <v>101.91842520456009</v>
      </c>
      <c r="W116" s="49">
        <f t="shared" si="89"/>
        <v>115.86318901049205</v>
      </c>
      <c r="X116" s="49">
        <f t="shared" si="89"/>
        <v>110.58550900694213</v>
      </c>
      <c r="Y116" s="49">
        <f t="shared" si="89"/>
        <v>99.047324128383551</v>
      </c>
      <c r="Z116" s="49">
        <f t="shared" si="89"/>
        <v>99.838904005739906</v>
      </c>
      <c r="AA116" s="49">
        <f t="shared" si="89"/>
        <v>97.111577525139367</v>
      </c>
      <c r="AB116" s="49">
        <f t="shared" si="89"/>
        <v>91.948068766795089</v>
      </c>
      <c r="AC116" s="49">
        <f t="shared" si="89"/>
        <v>99.999834751987535</v>
      </c>
      <c r="AD116" s="49">
        <f t="shared" si="89"/>
        <v>94.159973578992492</v>
      </c>
      <c r="AE116" s="49">
        <f t="shared" si="89"/>
        <v>94.699155237968441</v>
      </c>
      <c r="AF116" s="49">
        <f t="shared" si="89"/>
        <v>85.398732704703775</v>
      </c>
      <c r="AG116" s="49">
        <f t="shared" si="89"/>
        <v>91.231211324971056</v>
      </c>
      <c r="AH116" s="49">
        <f t="shared" si="89"/>
        <v>80.997259157262704</v>
      </c>
      <c r="AI116" s="49">
        <f t="shared" ref="AI116:BG116" si="90">AI11*1000000/(AI103-AI104-AI105)</f>
        <v>80.540292913933428</v>
      </c>
      <c r="AJ116" s="49">
        <f t="shared" si="90"/>
        <v>82.392352382043285</v>
      </c>
      <c r="AK116" s="49">
        <f t="shared" si="90"/>
        <v>83.576283438653917</v>
      </c>
      <c r="AL116" s="49">
        <f t="shared" si="90"/>
        <v>81.563326755539379</v>
      </c>
      <c r="AM116" s="49">
        <f t="shared" si="90"/>
        <v>80.805904218068207</v>
      </c>
      <c r="AN116" s="49">
        <f t="shared" si="90"/>
        <v>78.406279712149825</v>
      </c>
      <c r="AO116" s="49">
        <f t="shared" si="90"/>
        <v>75.914498584736847</v>
      </c>
      <c r="AP116" s="49">
        <f t="shared" si="90"/>
        <v>74.777187761202697</v>
      </c>
      <c r="AQ116" s="49">
        <f t="shared" si="90"/>
        <v>73.496739684627585</v>
      </c>
      <c r="AR116" s="49">
        <f t="shared" si="90"/>
        <v>66.899630693132437</v>
      </c>
      <c r="AS116" s="49">
        <f t="shared" si="90"/>
        <v>76.842836966880739</v>
      </c>
      <c r="AT116" s="49">
        <f t="shared" si="90"/>
        <v>70.417206181579701</v>
      </c>
      <c r="AU116" s="49">
        <f t="shared" si="90"/>
        <v>68.709767976929228</v>
      </c>
      <c r="AV116" s="49">
        <f t="shared" si="90"/>
        <v>66.298895435383599</v>
      </c>
      <c r="AW116" s="49">
        <f t="shared" si="90"/>
        <v>64.474886345865244</v>
      </c>
      <c r="AX116" s="49">
        <f t="shared" si="90"/>
        <v>60.547108941360122</v>
      </c>
      <c r="AY116" s="49">
        <f t="shared" si="90"/>
        <v>62.050377149948616</v>
      </c>
      <c r="AZ116" s="49">
        <f t="shared" si="90"/>
        <v>59.792204503408158</v>
      </c>
      <c r="BA116" s="49">
        <f t="shared" si="90"/>
        <v>62.98091678221499</v>
      </c>
      <c r="BB116" s="49">
        <f t="shared" si="90"/>
        <v>61.239617828223786</v>
      </c>
      <c r="BC116" s="49">
        <f t="shared" si="90"/>
        <v>62.01396355758245</v>
      </c>
      <c r="BD116" s="49">
        <f t="shared" si="90"/>
        <v>61.009445426147977</v>
      </c>
      <c r="BE116" s="49">
        <f t="shared" si="90"/>
        <v>60.227834845510174</v>
      </c>
      <c r="BF116" s="49">
        <f t="shared" si="90"/>
        <v>55.618805618805609</v>
      </c>
      <c r="BG116" s="49">
        <f t="shared" si="90"/>
        <v>52.072100966421331</v>
      </c>
      <c r="BH116" s="49">
        <f t="shared" ref="BH116:CD116" si="91">BH11*1000000/((BH103-BH106)-BH104-BH105)</f>
        <v>48.135270807696472</v>
      </c>
      <c r="BI116" s="51">
        <f t="shared" si="91"/>
        <v>50.079704632127843</v>
      </c>
      <c r="BJ116" s="49">
        <f t="shared" si="91"/>
        <v>44.464599830808694</v>
      </c>
      <c r="BK116" s="49">
        <f t="shared" si="91"/>
        <v>40.319009672375834</v>
      </c>
      <c r="BL116" s="49">
        <f t="shared" si="91"/>
        <v>35.965745908568252</v>
      </c>
      <c r="BM116" s="49">
        <f t="shared" si="91"/>
        <v>33.380075285362722</v>
      </c>
      <c r="BN116" s="49">
        <f t="shared" si="91"/>
        <v>31.676334547940158</v>
      </c>
      <c r="BO116" s="49">
        <f t="shared" si="91"/>
        <v>30.245741054206981</v>
      </c>
      <c r="BP116" s="51">
        <f t="shared" si="91"/>
        <v>28.435026984347118</v>
      </c>
      <c r="BQ116" s="49">
        <f t="shared" si="91"/>
        <v>28.49729684248225</v>
      </c>
      <c r="BR116" s="49">
        <f t="shared" si="91"/>
        <v>28.027362552905849</v>
      </c>
      <c r="BS116" s="49">
        <f t="shared" si="91"/>
        <v>27.482880252486762</v>
      </c>
      <c r="BT116" s="49">
        <f t="shared" si="91"/>
        <v>24.870179028577454</v>
      </c>
      <c r="BU116" s="49">
        <f t="shared" si="91"/>
        <v>25.017700724867503</v>
      </c>
      <c r="BV116" s="49">
        <f t="shared" si="91"/>
        <v>26.48887271518079</v>
      </c>
      <c r="BW116" s="50">
        <f t="shared" si="91"/>
        <v>25.059372026068054</v>
      </c>
      <c r="BX116" s="50">
        <f t="shared" si="91"/>
        <v>23.281155366657014</v>
      </c>
      <c r="BY116" s="50">
        <f t="shared" si="91"/>
        <v>23.808151949384555</v>
      </c>
      <c r="BZ116" s="49">
        <f t="shared" si="91"/>
        <v>23.673469855587019</v>
      </c>
      <c r="CA116" s="49">
        <f t="shared" si="91"/>
        <v>26.587149923676446</v>
      </c>
      <c r="CB116" s="49">
        <f t="shared" si="91"/>
        <v>25.141159665801833</v>
      </c>
      <c r="CC116" s="394">
        <f t="shared" si="91"/>
        <v>23.711994096704341</v>
      </c>
      <c r="CD116" s="394">
        <f t="shared" si="91"/>
        <v>22.869724722496837</v>
      </c>
      <c r="CE116" s="363">
        <f t="shared" ref="CE116" si="92">CE11*1000000/((CE103-CE106)-CE104-CE105)</f>
        <v>22.911687146902782</v>
      </c>
    </row>
    <row r="117" spans="1:84" x14ac:dyDescent="0.2">
      <c r="A117" s="112" t="s">
        <v>136</v>
      </c>
      <c r="B117" s="113"/>
      <c r="C117" s="316">
        <f t="shared" ref="C117:AH117" si="93">+C11/(C102)</f>
        <v>0.20468750000000002</v>
      </c>
      <c r="D117" s="316">
        <f t="shared" si="93"/>
        <v>0.14237288135593218</v>
      </c>
      <c r="E117" s="316">
        <f t="shared" si="93"/>
        <v>0.11692307692307694</v>
      </c>
      <c r="F117" s="316">
        <f t="shared" si="93"/>
        <v>0.36612903225806448</v>
      </c>
      <c r="G117" s="316">
        <f t="shared" si="93"/>
        <v>0.28225806451612906</v>
      </c>
      <c r="H117" s="316">
        <f t="shared" si="93"/>
        <v>0.20333333333333331</v>
      </c>
      <c r="I117" s="316">
        <f t="shared" si="93"/>
        <v>0.22878787878787882</v>
      </c>
      <c r="J117" s="316">
        <f t="shared" si="93"/>
        <v>0.40322580645161288</v>
      </c>
      <c r="K117" s="316">
        <f t="shared" si="93"/>
        <v>0.2661290322580645</v>
      </c>
      <c r="L117" s="316">
        <f t="shared" si="93"/>
        <v>0.29661016949152541</v>
      </c>
      <c r="M117" s="316">
        <f t="shared" si="93"/>
        <v>0.40151515151515149</v>
      </c>
      <c r="N117" s="316">
        <f t="shared" si="93"/>
        <v>0.45967741935483869</v>
      </c>
      <c r="O117" s="316">
        <f t="shared" si="93"/>
        <v>0.73809523809523814</v>
      </c>
      <c r="P117" s="316">
        <f t="shared" si="93"/>
        <v>0.44666666666666666</v>
      </c>
      <c r="Q117" s="316">
        <f t="shared" si="93"/>
        <v>0.31363636363636366</v>
      </c>
      <c r="R117" s="316">
        <f t="shared" si="93"/>
        <v>0.45468750000000002</v>
      </c>
      <c r="S117" s="316">
        <f t="shared" si="93"/>
        <v>0.52950819672131144</v>
      </c>
      <c r="T117" s="316">
        <f t="shared" si="93"/>
        <v>0.55806451612903218</v>
      </c>
      <c r="U117" s="316">
        <f t="shared" si="93"/>
        <v>0.62878787878787878</v>
      </c>
      <c r="V117" s="316">
        <f t="shared" si="93"/>
        <v>0.71562500000000007</v>
      </c>
      <c r="W117" s="316">
        <f t="shared" si="93"/>
        <v>1.096875</v>
      </c>
      <c r="X117" s="316">
        <f t="shared" si="93"/>
        <v>1.1355932203389831</v>
      </c>
      <c r="Y117" s="316">
        <f t="shared" si="93"/>
        <v>0.66923076923076918</v>
      </c>
      <c r="Z117" s="316">
        <f t="shared" si="93"/>
        <v>0.95161290322580661</v>
      </c>
      <c r="AA117" s="316">
        <f t="shared" si="93"/>
        <v>1.1140625</v>
      </c>
      <c r="AB117" s="316">
        <f t="shared" si="93"/>
        <v>0.94666666666666666</v>
      </c>
      <c r="AC117" s="316">
        <f t="shared" si="93"/>
        <v>0.93100000000000016</v>
      </c>
      <c r="AD117" s="316">
        <f t="shared" si="93"/>
        <v>1.0806451612903225</v>
      </c>
      <c r="AE117" s="316">
        <f t="shared" si="93"/>
        <v>1.0408130081300815</v>
      </c>
      <c r="AF117" s="316">
        <f t="shared" si="93"/>
        <v>0.81170731707317079</v>
      </c>
      <c r="AG117" s="316">
        <f t="shared" si="93"/>
        <v>0.80909090909090919</v>
      </c>
      <c r="AH117" s="316">
        <f t="shared" si="93"/>
        <v>1.0081300813008129</v>
      </c>
      <c r="AI117" s="316">
        <f t="shared" ref="AI117:BN117" si="94">+AI11/(AI102)</f>
        <v>0.94908943089430908</v>
      </c>
      <c r="AJ117" s="316">
        <f t="shared" si="94"/>
        <v>1.4017094017094016</v>
      </c>
      <c r="AK117" s="316">
        <f t="shared" si="94"/>
        <v>1.1666666666666667</v>
      </c>
      <c r="AL117" s="316">
        <f t="shared" si="94"/>
        <v>1.32</v>
      </c>
      <c r="AM117" s="316">
        <f t="shared" si="94"/>
        <v>1.4146341463414633</v>
      </c>
      <c r="AN117" s="316">
        <f t="shared" si="94"/>
        <v>1.4621848739495797</v>
      </c>
      <c r="AO117" s="316">
        <f t="shared" si="94"/>
        <v>1.0606060606060606</v>
      </c>
      <c r="AP117" s="316">
        <f t="shared" si="94"/>
        <v>1.3370078740157478</v>
      </c>
      <c r="AQ117" s="316">
        <f t="shared" si="94"/>
        <v>1.4</v>
      </c>
      <c r="AR117" s="316">
        <f t="shared" si="94"/>
        <v>1.0847457627118644</v>
      </c>
      <c r="AS117" s="317">
        <f t="shared" si="94"/>
        <v>1.3181818181818181</v>
      </c>
      <c r="AT117" s="318">
        <f t="shared" si="94"/>
        <v>1.0551181102362204</v>
      </c>
      <c r="AU117" s="318">
        <f t="shared" si="94"/>
        <v>1.1023622047244095</v>
      </c>
      <c r="AV117" s="316">
        <f t="shared" si="94"/>
        <v>0.92173913043478262</v>
      </c>
      <c r="AW117" s="316">
        <f t="shared" si="94"/>
        <v>0.72307692307692306</v>
      </c>
      <c r="AX117" s="316">
        <f t="shared" si="94"/>
        <v>0.74796747967479671</v>
      </c>
      <c r="AY117" s="316">
        <f t="shared" si="94"/>
        <v>1.0406504065040652</v>
      </c>
      <c r="AZ117" s="316">
        <f t="shared" si="94"/>
        <v>0.86440677966101698</v>
      </c>
      <c r="BA117" s="316">
        <f t="shared" si="94"/>
        <v>0.95454545454545459</v>
      </c>
      <c r="BB117" s="316">
        <f t="shared" si="94"/>
        <v>1.089430894308943</v>
      </c>
      <c r="BC117" s="316">
        <f t="shared" si="94"/>
        <v>1.2483870967741937</v>
      </c>
      <c r="BD117" s="316">
        <f t="shared" si="94"/>
        <v>1.0573913043478262</v>
      </c>
      <c r="BE117" s="316">
        <f t="shared" si="94"/>
        <v>1.009090909090909</v>
      </c>
      <c r="BF117" s="316">
        <f t="shared" si="94"/>
        <v>1.3154471544715445</v>
      </c>
      <c r="BG117" s="316">
        <f t="shared" si="94"/>
        <v>1.8373983739837398</v>
      </c>
      <c r="BH117" s="316">
        <f t="shared" si="94"/>
        <v>1.8461538461538463</v>
      </c>
      <c r="BI117" s="317">
        <f t="shared" si="94"/>
        <v>1.7045454545454546</v>
      </c>
      <c r="BJ117" s="316">
        <f t="shared" si="94"/>
        <v>2.3312000000000004</v>
      </c>
      <c r="BK117" s="316">
        <f t="shared" si="94"/>
        <v>2.0866666666666664</v>
      </c>
      <c r="BL117" s="316">
        <f t="shared" si="94"/>
        <v>1.7821138211382113</v>
      </c>
      <c r="BM117" s="316">
        <f t="shared" si="94"/>
        <v>1.7121212121212124</v>
      </c>
      <c r="BN117" s="316">
        <f t="shared" si="94"/>
        <v>1.91496062992126</v>
      </c>
      <c r="BO117" s="316">
        <f t="shared" ref="BO117:CD117" si="95">+BO11/(BO102)</f>
        <v>1.9165354330708664</v>
      </c>
      <c r="BP117" s="317">
        <f t="shared" si="95"/>
        <v>1.7286206896551723</v>
      </c>
      <c r="BQ117" s="316">
        <f t="shared" si="95"/>
        <v>1.6256923076923078</v>
      </c>
      <c r="BR117" s="316">
        <f t="shared" si="95"/>
        <v>1.9494079999999998</v>
      </c>
      <c r="BS117" s="316">
        <f t="shared" si="95"/>
        <v>1.9618064516129032</v>
      </c>
      <c r="BT117" s="316">
        <f t="shared" si="95"/>
        <v>1.5523898305084747</v>
      </c>
      <c r="BU117" s="316">
        <f t="shared" si="95"/>
        <v>1.7074615384615381</v>
      </c>
      <c r="BV117" s="316">
        <f t="shared" si="95"/>
        <v>1.8056047482926827</v>
      </c>
      <c r="BW117" s="318">
        <f t="shared" si="95"/>
        <v>1.7826565031746018</v>
      </c>
      <c r="BX117" s="318">
        <f t="shared" si="95"/>
        <v>1.8232440453913044</v>
      </c>
      <c r="BY117" s="318">
        <f t="shared" si="95"/>
        <v>1.904355996969697</v>
      </c>
      <c r="BZ117" s="316">
        <f t="shared" si="95"/>
        <v>2.0007596479674796</v>
      </c>
      <c r="CA117" s="316">
        <f t="shared" si="95"/>
        <v>4.2516224653798158</v>
      </c>
      <c r="CB117" s="316">
        <f t="shared" si="95"/>
        <v>4.4455544000579605</v>
      </c>
      <c r="CC117" s="412">
        <f t="shared" si="95"/>
        <v>4.2833407212635146</v>
      </c>
      <c r="CD117" s="412">
        <f t="shared" si="95"/>
        <v>4.662815231108608</v>
      </c>
      <c r="CE117" s="377">
        <f>+CE11/(CE102)</f>
        <v>7.1325743651311218</v>
      </c>
    </row>
    <row r="118" spans="1:84" x14ac:dyDescent="0.2">
      <c r="A118" s="11"/>
      <c r="B118" s="1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3"/>
      <c r="AD118" s="33"/>
      <c r="AE118" s="33"/>
      <c r="AF118" s="33"/>
      <c r="AG118" s="33"/>
      <c r="AH118" s="33"/>
      <c r="AI118" s="33"/>
      <c r="AJ118" s="32"/>
      <c r="AK118" s="7"/>
      <c r="AL118" s="32"/>
      <c r="AM118" s="33"/>
      <c r="AN118" s="32"/>
      <c r="AO118" s="32"/>
      <c r="AP118" s="32"/>
      <c r="AQ118" s="32"/>
      <c r="AR118" s="32"/>
      <c r="AS118" s="7"/>
      <c r="AT118" s="33"/>
      <c r="AU118" s="33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3"/>
      <c r="BJ118" s="32"/>
      <c r="BK118" s="32"/>
      <c r="BL118" s="32"/>
      <c r="BM118" s="32"/>
      <c r="BN118" s="32"/>
      <c r="BO118" s="32"/>
      <c r="BP118" s="7"/>
      <c r="BQ118" s="32"/>
      <c r="BR118" s="7"/>
      <c r="BS118" s="32"/>
      <c r="BT118" s="32"/>
      <c r="BU118" s="32"/>
      <c r="BV118" s="32"/>
      <c r="BW118" s="33"/>
      <c r="BX118" s="33"/>
      <c r="BY118" s="33"/>
      <c r="BZ118" s="32"/>
      <c r="CA118" s="32"/>
      <c r="CB118" s="32"/>
      <c r="CC118" s="392"/>
      <c r="CD118" s="392"/>
      <c r="CE118" s="361"/>
    </row>
    <row r="119" spans="1:84" x14ac:dyDescent="0.2">
      <c r="A119" s="304" t="s">
        <v>170</v>
      </c>
      <c r="B119" s="7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3"/>
      <c r="AD119" s="33"/>
      <c r="AE119" s="33"/>
      <c r="AF119" s="33"/>
      <c r="AG119" s="33"/>
      <c r="AH119" s="33"/>
      <c r="AI119" s="33"/>
      <c r="AJ119" s="32"/>
      <c r="AK119" s="7"/>
      <c r="AL119" s="32"/>
      <c r="AM119" s="33"/>
      <c r="AN119" s="32"/>
      <c r="AO119" s="32"/>
      <c r="AP119" s="32"/>
      <c r="AQ119" s="32"/>
      <c r="AR119" s="32"/>
      <c r="AS119" s="7"/>
      <c r="AT119" s="33"/>
      <c r="AU119" s="33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3"/>
      <c r="BJ119" s="32"/>
      <c r="BK119" s="32"/>
      <c r="BL119" s="32"/>
      <c r="BM119" s="32"/>
      <c r="BN119" s="32"/>
      <c r="BO119" s="32"/>
      <c r="BP119" s="7"/>
      <c r="BQ119" s="32"/>
      <c r="BR119" s="7"/>
      <c r="BS119" s="32"/>
      <c r="BT119" s="32"/>
      <c r="BU119" s="32"/>
      <c r="BV119" s="32"/>
      <c r="BW119" s="33"/>
      <c r="BX119" s="33"/>
      <c r="BY119" s="33"/>
      <c r="BZ119" s="32"/>
      <c r="CA119" s="32"/>
      <c r="CB119" s="32"/>
      <c r="CC119" s="392"/>
      <c r="CD119" s="392"/>
      <c r="CE119" s="361"/>
    </row>
    <row r="120" spans="1:84" x14ac:dyDescent="0.2">
      <c r="A120" s="39" t="s">
        <v>121</v>
      </c>
      <c r="B120" s="319"/>
      <c r="C120" s="149">
        <f t="shared" ref="C120:AH120" si="96">(C23*4)/((B78+C78)/2)</f>
        <v>1.3453962223018109E-2</v>
      </c>
      <c r="D120" s="149">
        <f t="shared" si="96"/>
        <v>1.1294310918689519E-2</v>
      </c>
      <c r="E120" s="149">
        <f t="shared" si="96"/>
        <v>1.1671338353990071E-2</v>
      </c>
      <c r="F120" s="149">
        <f t="shared" si="96"/>
        <v>1.604704702423013E-2</v>
      </c>
      <c r="G120" s="149">
        <f t="shared" si="96"/>
        <v>1.3541856647820536E-2</v>
      </c>
      <c r="H120" s="149">
        <f t="shared" si="96"/>
        <v>1.249135189687018E-2</v>
      </c>
      <c r="I120" s="149">
        <f t="shared" si="96"/>
        <v>1.9809286422931543E-2</v>
      </c>
      <c r="J120" s="149">
        <f t="shared" si="96"/>
        <v>2.5052397978054489E-2</v>
      </c>
      <c r="K120" s="149">
        <f t="shared" si="96"/>
        <v>1.740815405446066E-2</v>
      </c>
      <c r="L120" s="149">
        <f t="shared" si="96"/>
        <v>1.8511364421416234E-2</v>
      </c>
      <c r="M120" s="149">
        <f t="shared" si="96"/>
        <v>1.8708209829737366E-2</v>
      </c>
      <c r="N120" s="149">
        <f t="shared" si="96"/>
        <v>1.7708079955357781E-2</v>
      </c>
      <c r="O120" s="149">
        <f t="shared" si="96"/>
        <v>2.0064186378224172E-2</v>
      </c>
      <c r="P120" s="149">
        <f t="shared" si="96"/>
        <v>1.3255035472422837E-2</v>
      </c>
      <c r="Q120" s="149">
        <f t="shared" si="96"/>
        <v>1.0544873366213342E-2</v>
      </c>
      <c r="R120" s="149">
        <f t="shared" si="96"/>
        <v>1.3393658514201805E-2</v>
      </c>
      <c r="S120" s="149">
        <f t="shared" si="96"/>
        <v>1.297409182690897E-2</v>
      </c>
      <c r="T120" s="149">
        <f t="shared" si="96"/>
        <v>1.2181948884373841E-2</v>
      </c>
      <c r="U120" s="149">
        <f t="shared" si="96"/>
        <v>1.1712985255331838E-2</v>
      </c>
      <c r="V120" s="149">
        <f t="shared" si="96"/>
        <v>1.1243625612970506E-2</v>
      </c>
      <c r="W120" s="149">
        <f t="shared" si="96"/>
        <v>1.3979738155937211E-2</v>
      </c>
      <c r="X120" s="149">
        <f t="shared" si="96"/>
        <v>1.3253498296337953E-2</v>
      </c>
      <c r="Y120" s="149">
        <f t="shared" si="96"/>
        <v>9.11391871917616E-3</v>
      </c>
      <c r="Z120" s="149">
        <f t="shared" si="96"/>
        <v>1.1110515572482497E-2</v>
      </c>
      <c r="AA120" s="149">
        <f t="shared" si="96"/>
        <v>1.1474322150126445E-2</v>
      </c>
      <c r="AB120" s="149">
        <f t="shared" si="96"/>
        <v>1.1003227891524577E-2</v>
      </c>
      <c r="AC120" s="150">
        <f t="shared" si="96"/>
        <v>1.0080343477916654E-2</v>
      </c>
      <c r="AD120" s="151">
        <f t="shared" si="96"/>
        <v>1.2024362940934988E-2</v>
      </c>
      <c r="AE120" s="151">
        <f t="shared" si="96"/>
        <v>1.1471358327461644E-2</v>
      </c>
      <c r="AF120" s="151">
        <f t="shared" si="96"/>
        <v>1.1146962191474253E-2</v>
      </c>
      <c r="AG120" s="151">
        <f t="shared" si="96"/>
        <v>1.076797627275247E-2</v>
      </c>
      <c r="AH120" s="151">
        <f t="shared" si="96"/>
        <v>1.2925637621622901E-2</v>
      </c>
      <c r="AI120" s="151">
        <f t="shared" ref="AI120:BN120" si="97">(AI23*4)/((AH78+AI78)/2)</f>
        <v>1.1490857340134605E-2</v>
      </c>
      <c r="AJ120" s="149">
        <f t="shared" si="97"/>
        <v>1.1933487883728049E-2</v>
      </c>
      <c r="AK120" s="151">
        <f t="shared" si="97"/>
        <v>9.4668179902015776E-3</v>
      </c>
      <c r="AL120" s="149">
        <f t="shared" si="97"/>
        <v>9.3624373982116992E-3</v>
      </c>
      <c r="AM120" s="151">
        <f t="shared" si="97"/>
        <v>8.7672650444830906E-3</v>
      </c>
      <c r="AN120" s="149">
        <f t="shared" si="97"/>
        <v>8.6095437997493474E-3</v>
      </c>
      <c r="AO120" s="149">
        <f t="shared" si="97"/>
        <v>7.2003290461940903E-3</v>
      </c>
      <c r="AP120" s="149">
        <f t="shared" si="97"/>
        <v>8.0367556989561287E-3</v>
      </c>
      <c r="AQ120" s="149">
        <f t="shared" si="97"/>
        <v>8.1539210469710518E-3</v>
      </c>
      <c r="AR120" s="149">
        <f t="shared" si="97"/>
        <v>7.5434035826597926E-3</v>
      </c>
      <c r="AS120" s="150">
        <f t="shared" si="97"/>
        <v>8.871002018164471E-3</v>
      </c>
      <c r="AT120" s="151">
        <f t="shared" si="97"/>
        <v>8.2341325335467518E-3</v>
      </c>
      <c r="AU120" s="151">
        <f t="shared" si="97"/>
        <v>7.9512333567788359E-3</v>
      </c>
      <c r="AV120" s="149">
        <f t="shared" si="97"/>
        <v>6.6475149784993321E-3</v>
      </c>
      <c r="AW120" s="149">
        <f t="shared" si="97"/>
        <v>5.8851302707835056E-3</v>
      </c>
      <c r="AX120" s="149">
        <f t="shared" si="97"/>
        <v>5.9247577160891993E-3</v>
      </c>
      <c r="AY120" s="149">
        <f t="shared" si="97"/>
        <v>6.2701569775607448E-3</v>
      </c>
      <c r="AZ120" s="149">
        <f t="shared" si="97"/>
        <v>5.4658500371195249E-3</v>
      </c>
      <c r="BA120" s="149">
        <f t="shared" si="97"/>
        <v>5.6322790982590385E-3</v>
      </c>
      <c r="BB120" s="149">
        <f t="shared" si="97"/>
        <v>5.6360696554279372E-3</v>
      </c>
      <c r="BC120" s="149">
        <f t="shared" si="97"/>
        <v>5.5657310202764758E-3</v>
      </c>
      <c r="BD120" s="149">
        <f t="shared" si="97"/>
        <v>4.9217376618790644E-3</v>
      </c>
      <c r="BE120" s="149">
        <f t="shared" si="97"/>
        <v>4.7376728439842593E-3</v>
      </c>
      <c r="BF120" s="149">
        <f t="shared" si="97"/>
        <v>5.2634394837553613E-3</v>
      </c>
      <c r="BG120" s="149">
        <f t="shared" si="97"/>
        <v>5.4500064567132725E-3</v>
      </c>
      <c r="BH120" s="149">
        <f t="shared" si="97"/>
        <v>5.1612903225806452E-3</v>
      </c>
      <c r="BI120" s="150">
        <f t="shared" si="97"/>
        <v>4.5671188708019533E-3</v>
      </c>
      <c r="BJ120" s="149">
        <f t="shared" si="97"/>
        <v>5.3361771556412708E-3</v>
      </c>
      <c r="BK120" s="149">
        <f t="shared" si="97"/>
        <v>4.5515697068044553E-3</v>
      </c>
      <c r="BL120" s="149">
        <f t="shared" si="97"/>
        <v>4.3956745604487478E-3</v>
      </c>
      <c r="BM120" s="149">
        <f t="shared" si="97"/>
        <v>4.0092141182295144E-3</v>
      </c>
      <c r="BN120" s="149">
        <f t="shared" si="97"/>
        <v>4.1774122447414989E-3</v>
      </c>
      <c r="BO120" s="149">
        <f t="shared" ref="BO120:CE120" si="98">(BO23*4)/((BN78+BO78)/2)</f>
        <v>3.9570839943491578E-3</v>
      </c>
      <c r="BP120" s="150">
        <f t="shared" si="98"/>
        <v>3.5561472083375095E-3</v>
      </c>
      <c r="BQ120" s="149">
        <f t="shared" si="98"/>
        <v>3.2890696398532298E-3</v>
      </c>
      <c r="BR120" s="149">
        <f t="shared" si="98"/>
        <v>3.8416134773016793E-3</v>
      </c>
      <c r="BS120" s="149">
        <f t="shared" si="98"/>
        <v>3.7968833848278064E-3</v>
      </c>
      <c r="BT120" s="149">
        <f t="shared" si="98"/>
        <v>3.2716725315843883E-3</v>
      </c>
      <c r="BU120" s="149">
        <f t="shared" si="98"/>
        <v>3.3484303392336216E-3</v>
      </c>
      <c r="BV120" s="149">
        <f t="shared" si="98"/>
        <v>3.3841914019777674E-3</v>
      </c>
      <c r="BW120" s="151">
        <f t="shared" si="98"/>
        <v>3.368566485428561E-3</v>
      </c>
      <c r="BX120" s="151">
        <f t="shared" si="98"/>
        <v>3.2697833451616415E-3</v>
      </c>
      <c r="BY120" s="151">
        <f t="shared" si="98"/>
        <v>3.4007788906869857E-3</v>
      </c>
      <c r="BZ120" s="149">
        <f t="shared" si="98"/>
        <v>3.350336763076204E-3</v>
      </c>
      <c r="CA120" s="149">
        <f t="shared" si="98"/>
        <v>5.5849104982572473E-3</v>
      </c>
      <c r="CB120" s="149">
        <f t="shared" si="98"/>
        <v>5.1740160688408272E-3</v>
      </c>
      <c r="CC120" s="413">
        <f t="shared" si="98"/>
        <v>4.8011444000573252E-3</v>
      </c>
      <c r="CD120" s="413">
        <f t="shared" si="98"/>
        <v>5.2073438468934934E-3</v>
      </c>
      <c r="CE120" s="378">
        <f t="shared" si="98"/>
        <v>6.2509315065328568E-3</v>
      </c>
      <c r="CF120" s="122"/>
    </row>
    <row r="121" spans="1:84" x14ac:dyDescent="0.2">
      <c r="A121" s="112" t="s">
        <v>106</v>
      </c>
      <c r="B121" s="157"/>
      <c r="C121" s="158">
        <f t="shared" ref="C121:AH121" si="99">(-C29*4)/((B78+C78)/2)</f>
        <v>1.4057708777776047E-2</v>
      </c>
      <c r="D121" s="158">
        <f t="shared" si="99"/>
        <v>1.2774892404575909E-2</v>
      </c>
      <c r="E121" s="158">
        <f t="shared" si="99"/>
        <v>1.1141265070413022E-2</v>
      </c>
      <c r="F121" s="158">
        <f t="shared" si="99"/>
        <v>1.078434501151102E-2</v>
      </c>
      <c r="G121" s="158">
        <f t="shared" si="99"/>
        <v>1.2426135327375526E-2</v>
      </c>
      <c r="H121" s="158">
        <f t="shared" si="99"/>
        <v>1.2133875810065439E-2</v>
      </c>
      <c r="I121" s="158">
        <f t="shared" si="99"/>
        <v>1.4439133179734834E-2</v>
      </c>
      <c r="J121" s="158">
        <f t="shared" si="99"/>
        <v>1.4769736571733857E-2</v>
      </c>
      <c r="K121" s="158">
        <f t="shared" si="99"/>
        <v>1.3754776590943282E-2</v>
      </c>
      <c r="L121" s="158">
        <f t="shared" si="99"/>
        <v>1.1752124352331608E-2</v>
      </c>
      <c r="M121" s="158">
        <f t="shared" si="99"/>
        <v>9.5558466027894553E-3</v>
      </c>
      <c r="N121" s="158">
        <f t="shared" si="99"/>
        <v>9.8258667315314283E-3</v>
      </c>
      <c r="O121" s="158">
        <f t="shared" si="99"/>
        <v>8.4891661522298427E-3</v>
      </c>
      <c r="P121" s="158">
        <f t="shared" si="99"/>
        <v>6.7636996075034336E-3</v>
      </c>
      <c r="Q121" s="158">
        <f t="shared" si="99"/>
        <v>6.1733358173100498E-3</v>
      </c>
      <c r="R121" s="158">
        <f t="shared" si="99"/>
        <v>7.8831429052142136E-3</v>
      </c>
      <c r="S121" s="158">
        <f t="shared" si="99"/>
        <v>7.0920056228177576E-3</v>
      </c>
      <c r="T121" s="158">
        <f t="shared" si="99"/>
        <v>6.4051480836840972E-3</v>
      </c>
      <c r="U121" s="158">
        <f t="shared" si="99"/>
        <v>4.8555751728401667E-3</v>
      </c>
      <c r="V121" s="158">
        <f t="shared" si="99"/>
        <v>5.2285667036783296E-3</v>
      </c>
      <c r="W121" s="158">
        <f t="shared" si="99"/>
        <v>5.3827370900458773E-3</v>
      </c>
      <c r="X121" s="158">
        <f t="shared" si="99"/>
        <v>6.6820073439412481E-3</v>
      </c>
      <c r="Y121" s="158">
        <f t="shared" si="99"/>
        <v>4.226697606220904E-3</v>
      </c>
      <c r="Z121" s="158">
        <f t="shared" si="99"/>
        <v>5.4949063738505546E-3</v>
      </c>
      <c r="AA121" s="158">
        <f t="shared" si="99"/>
        <v>4.9375144697710021E-3</v>
      </c>
      <c r="AB121" s="158">
        <f t="shared" si="99"/>
        <v>5.150259767127136E-3</v>
      </c>
      <c r="AC121" s="159">
        <f t="shared" si="99"/>
        <v>4.2263814598390743E-3</v>
      </c>
      <c r="AD121" s="160">
        <f t="shared" si="99"/>
        <v>5.513551822013958E-3</v>
      </c>
      <c r="AE121" s="160">
        <f t="shared" si="99"/>
        <v>5.6820006351943975E-3</v>
      </c>
      <c r="AF121" s="160">
        <f t="shared" si="99"/>
        <v>6.0588888089346035E-3</v>
      </c>
      <c r="AG121" s="160">
        <f t="shared" si="99"/>
        <v>5.1009279682158373E-3</v>
      </c>
      <c r="AH121" s="160">
        <f t="shared" si="99"/>
        <v>7.6892363216154785E-3</v>
      </c>
      <c r="AI121" s="160">
        <f t="shared" ref="AI121:BN121" si="100">(-AI29*4)/((AH78+AI78)/2)</f>
        <v>5.7928967489388359E-3</v>
      </c>
      <c r="AJ121" s="158">
        <f t="shared" si="100"/>
        <v>5.3987124552473164E-3</v>
      </c>
      <c r="AK121" s="160">
        <f t="shared" si="100"/>
        <v>3.7343434451550172E-3</v>
      </c>
      <c r="AL121" s="158">
        <f t="shared" si="100"/>
        <v>4.2634290287060592E-3</v>
      </c>
      <c r="AM121" s="160">
        <f t="shared" si="100"/>
        <v>3.6457101726145129E-3</v>
      </c>
      <c r="AN121" s="158">
        <f t="shared" si="100"/>
        <v>4.1368470418317923E-3</v>
      </c>
      <c r="AO121" s="158">
        <f t="shared" si="100"/>
        <v>3.3080551411509614E-3</v>
      </c>
      <c r="AP121" s="158">
        <f t="shared" si="100"/>
        <v>3.9033653342093098E-3</v>
      </c>
      <c r="AQ121" s="158">
        <f t="shared" si="100"/>
        <v>3.3460068143686813E-3</v>
      </c>
      <c r="AR121" s="158">
        <f t="shared" si="100"/>
        <v>4.2189744673767939E-3</v>
      </c>
      <c r="AS121" s="159">
        <f t="shared" si="100"/>
        <v>3.7759105519967287E-3</v>
      </c>
      <c r="AT121" s="160">
        <f t="shared" si="100"/>
        <v>4.9100453087901827E-3</v>
      </c>
      <c r="AU121" s="160">
        <f t="shared" si="100"/>
        <v>4.3865754019669538E-3</v>
      </c>
      <c r="AV121" s="158">
        <f t="shared" si="100"/>
        <v>4.315074626297914E-3</v>
      </c>
      <c r="AW121" s="158">
        <f t="shared" si="100"/>
        <v>3.8362119148864825E-3</v>
      </c>
      <c r="AX121" s="158">
        <f t="shared" si="100"/>
        <v>4.1963928486396518E-3</v>
      </c>
      <c r="AY121" s="158">
        <f t="shared" si="100"/>
        <v>3.9571741878328881E-3</v>
      </c>
      <c r="AZ121" s="158">
        <f t="shared" si="100"/>
        <v>3.9845747752206553E-3</v>
      </c>
      <c r="BA121" s="158">
        <f t="shared" si="100"/>
        <v>2.8065399069478001E-3</v>
      </c>
      <c r="BB121" s="158">
        <f t="shared" si="100"/>
        <v>3.3068918876692395E-3</v>
      </c>
      <c r="BC121" s="158">
        <f t="shared" si="100"/>
        <v>3.0489994126357764E-3</v>
      </c>
      <c r="BD121" s="158">
        <f t="shared" si="100"/>
        <v>2.8639640123745845E-3</v>
      </c>
      <c r="BE121" s="158">
        <f t="shared" si="100"/>
        <v>2.6544146203844152E-3</v>
      </c>
      <c r="BF121" s="158">
        <f t="shared" si="100"/>
        <v>2.9908325368842997E-3</v>
      </c>
      <c r="BG121" s="158">
        <f t="shared" si="100"/>
        <v>2.5982762623234222E-3</v>
      </c>
      <c r="BH121" s="158">
        <f t="shared" si="100"/>
        <v>2.3750625294781825E-3</v>
      </c>
      <c r="BI121" s="159">
        <f t="shared" si="100"/>
        <v>2.1087343477838951E-3</v>
      </c>
      <c r="BJ121" s="158">
        <f t="shared" si="100"/>
        <v>2.3457834776199026E-3</v>
      </c>
      <c r="BK121" s="158">
        <f t="shared" si="100"/>
        <v>2.2223588588967573E-3</v>
      </c>
      <c r="BL121" s="158">
        <f t="shared" si="100"/>
        <v>2.1775127650310025E-3</v>
      </c>
      <c r="BM121" s="158">
        <f t="shared" si="100"/>
        <v>1.7665435825500182E-3</v>
      </c>
      <c r="BN121" s="158">
        <f t="shared" si="100"/>
        <v>2.1841119485149271E-3</v>
      </c>
      <c r="BO121" s="158">
        <f t="shared" ref="BO121:BU121" si="101">(-BO29*4)/((BN78+BO78)/2)</f>
        <v>2.0089185946185902E-3</v>
      </c>
      <c r="BP121" s="159">
        <f t="shared" si="101"/>
        <v>1.9872094718909367E-3</v>
      </c>
      <c r="BQ121" s="158">
        <f t="shared" si="101"/>
        <v>1.7844228322397458E-3</v>
      </c>
      <c r="BR121" s="158">
        <f t="shared" si="101"/>
        <v>2.2309986906475943E-3</v>
      </c>
      <c r="BS121" s="158">
        <f t="shared" si="101"/>
        <v>2.1293514046627489E-3</v>
      </c>
      <c r="BT121" s="158">
        <f t="shared" si="101"/>
        <v>2.0549655626116029E-3</v>
      </c>
      <c r="BU121" s="158">
        <f t="shared" si="101"/>
        <v>1.6868917950906186E-3</v>
      </c>
      <c r="BV121" s="158">
        <f>(-(BV29+35)*4)/((BU78+BV78)/2)</f>
        <v>1.9593450085112368E-3</v>
      </c>
      <c r="BW121" s="160">
        <f t="shared" ref="BW121:CE121" si="102">(-BW29*4)/((BV78+BW78)/2)</f>
        <v>2.0670774730765281E-3</v>
      </c>
      <c r="BX121" s="160">
        <f t="shared" si="102"/>
        <v>1.9085738822807803E-3</v>
      </c>
      <c r="BY121" s="160">
        <f t="shared" si="102"/>
        <v>1.6123359451822254E-3</v>
      </c>
      <c r="BZ121" s="158">
        <f t="shared" si="102"/>
        <v>1.9069724712443932E-3</v>
      </c>
      <c r="CA121" s="158">
        <f t="shared" si="102"/>
        <v>1.8445029001459908E-3</v>
      </c>
      <c r="CB121" s="158">
        <f t="shared" si="102"/>
        <v>1.824799929232438E-3</v>
      </c>
      <c r="CC121" s="414">
        <f t="shared" si="102"/>
        <v>1.4784677506448488E-3</v>
      </c>
      <c r="CD121" s="414">
        <f t="shared" si="102"/>
        <v>1.6308760428532106E-3</v>
      </c>
      <c r="CE121" s="379">
        <f t="shared" si="102"/>
        <v>1.3226487371858823E-3</v>
      </c>
      <c r="CF121" s="461"/>
    </row>
    <row r="122" spans="1:84" x14ac:dyDescent="0.2">
      <c r="A122" s="112" t="s">
        <v>107</v>
      </c>
      <c r="B122" s="162"/>
      <c r="C122" s="158">
        <f t="shared" ref="C122:AH122" si="103">(C35*4)/((B78+C78)/2)</f>
        <v>-6.0374655475793799E-4</v>
      </c>
      <c r="D122" s="158">
        <f t="shared" si="103"/>
        <v>-1.4805814858863898E-3</v>
      </c>
      <c r="E122" s="158">
        <f t="shared" si="103"/>
        <v>5.3007328357704991E-4</v>
      </c>
      <c r="F122" s="158">
        <f t="shared" si="103"/>
        <v>5.2627020127191098E-3</v>
      </c>
      <c r="G122" s="158">
        <f t="shared" si="103"/>
        <v>1.1157213204450115E-3</v>
      </c>
      <c r="H122" s="158">
        <f t="shared" si="103"/>
        <v>3.0669823356543072E-4</v>
      </c>
      <c r="I122" s="158">
        <f t="shared" si="103"/>
        <v>5.4357469068487983E-3</v>
      </c>
      <c r="J122" s="158">
        <f t="shared" si="103"/>
        <v>1.0216907080918916E-2</v>
      </c>
      <c r="K122" s="158">
        <f t="shared" si="103"/>
        <v>3.6533774635173792E-3</v>
      </c>
      <c r="L122" s="158">
        <f t="shared" si="103"/>
        <v>6.7592400690846266E-3</v>
      </c>
      <c r="M122" s="158">
        <f t="shared" si="103"/>
        <v>9.152363226947912E-3</v>
      </c>
      <c r="N122" s="158">
        <f t="shared" si="103"/>
        <v>7.8822132238263506E-3</v>
      </c>
      <c r="O122" s="158">
        <f t="shared" si="103"/>
        <v>1.1575020225994331E-2</v>
      </c>
      <c r="P122" s="158">
        <f t="shared" si="103"/>
        <v>6.4913358649194034E-3</v>
      </c>
      <c r="Q122" s="158">
        <f t="shared" si="103"/>
        <v>4.3715375489032917E-3</v>
      </c>
      <c r="R122" s="158">
        <f t="shared" si="103"/>
        <v>5.5105156089875927E-3</v>
      </c>
      <c r="S122" s="158">
        <f t="shared" si="103"/>
        <v>5.8820862040912135E-3</v>
      </c>
      <c r="T122" s="158">
        <f t="shared" si="103"/>
        <v>5.7768008006897431E-3</v>
      </c>
      <c r="U122" s="158">
        <f t="shared" si="103"/>
        <v>6.8574100824916719E-3</v>
      </c>
      <c r="V122" s="158">
        <f t="shared" si="103"/>
        <v>6.0285586038615873E-3</v>
      </c>
      <c r="W122" s="158">
        <f t="shared" si="103"/>
        <v>8.5970010658913357E-3</v>
      </c>
      <c r="X122" s="158">
        <f t="shared" si="103"/>
        <v>6.5714909523967042E-3</v>
      </c>
      <c r="Y122" s="158">
        <f t="shared" si="103"/>
        <v>4.8872211129552569E-3</v>
      </c>
      <c r="Z122" s="158">
        <f t="shared" si="103"/>
        <v>5.6156091986319422E-3</v>
      </c>
      <c r="AA122" s="158">
        <f t="shared" si="103"/>
        <v>6.4944122539740403E-3</v>
      </c>
      <c r="AB122" s="158">
        <f t="shared" si="103"/>
        <v>5.8529681243974403E-3</v>
      </c>
      <c r="AC122" s="158">
        <f t="shared" si="103"/>
        <v>5.853962018077581E-3</v>
      </c>
      <c r="AD122" s="158">
        <f t="shared" si="103"/>
        <v>6.4347144761847542E-3</v>
      </c>
      <c r="AE122" s="158">
        <f t="shared" si="103"/>
        <v>5.7893576922672454E-3</v>
      </c>
      <c r="AF122" s="158">
        <f t="shared" si="103"/>
        <v>5.0880733825396495E-3</v>
      </c>
      <c r="AG122" s="158">
        <f t="shared" si="103"/>
        <v>5.6670483045366338E-3</v>
      </c>
      <c r="AH122" s="158">
        <f t="shared" si="103"/>
        <v>5.2364013000074225E-3</v>
      </c>
      <c r="AI122" s="158">
        <f t="shared" ref="AI122:BN122" si="104">(AI35*4)/((AH78+AI78)/2)</f>
        <v>5.6979605911957687E-3</v>
      </c>
      <c r="AJ122" s="158">
        <f t="shared" si="104"/>
        <v>6.5347754284807331E-3</v>
      </c>
      <c r="AK122" s="158">
        <f t="shared" si="104"/>
        <v>5.7324745450465621E-3</v>
      </c>
      <c r="AL122" s="158">
        <f t="shared" si="104"/>
        <v>5.09900836950564E-3</v>
      </c>
      <c r="AM122" s="158">
        <f t="shared" si="104"/>
        <v>5.1215548718685777E-3</v>
      </c>
      <c r="AN122" s="158">
        <f t="shared" si="104"/>
        <v>4.4726967579175551E-3</v>
      </c>
      <c r="AO122" s="158">
        <f t="shared" si="104"/>
        <v>3.8922739050431289E-3</v>
      </c>
      <c r="AP122" s="158">
        <f t="shared" si="104"/>
        <v>4.1333903647468185E-3</v>
      </c>
      <c r="AQ122" s="158">
        <f t="shared" si="104"/>
        <v>4.8079142326023713E-3</v>
      </c>
      <c r="AR122" s="158">
        <f t="shared" si="104"/>
        <v>3.0563161280016092E-3</v>
      </c>
      <c r="AS122" s="158">
        <f t="shared" si="104"/>
        <v>5.0950914661677428E-3</v>
      </c>
      <c r="AT122" s="158">
        <f t="shared" si="104"/>
        <v>3.3240872247565696E-3</v>
      </c>
      <c r="AU122" s="158">
        <f t="shared" si="104"/>
        <v>3.5646579548118812E-3</v>
      </c>
      <c r="AV122" s="158">
        <f t="shared" si="104"/>
        <v>2.3324403522014181E-3</v>
      </c>
      <c r="AW122" s="158">
        <f t="shared" si="104"/>
        <v>2.0008431663004942E-3</v>
      </c>
      <c r="AX122" s="158">
        <f t="shared" si="104"/>
        <v>1.7283648674495482E-3</v>
      </c>
      <c r="AY122" s="158">
        <f t="shared" si="104"/>
        <v>2.3129827897278563E-3</v>
      </c>
      <c r="AZ122" s="158">
        <f t="shared" si="104"/>
        <v>1.4812752618988702E-3</v>
      </c>
      <c r="BA122" s="158">
        <f t="shared" si="104"/>
        <v>2.8257391913112384E-3</v>
      </c>
      <c r="BB122" s="158">
        <f t="shared" si="104"/>
        <v>2.2934661922979064E-3</v>
      </c>
      <c r="BC122" s="158">
        <f t="shared" si="104"/>
        <v>2.5134225134225141E-3</v>
      </c>
      <c r="BD122" s="158">
        <f t="shared" si="104"/>
        <v>2.054703033001452E-3</v>
      </c>
      <c r="BE122" s="158">
        <f t="shared" si="104"/>
        <v>2.0861893351506217E-3</v>
      </c>
      <c r="BF122" s="158">
        <f t="shared" si="104"/>
        <v>2.2866129061146889E-3</v>
      </c>
      <c r="BG122" s="158">
        <f t="shared" si="104"/>
        <v>2.8517301943898504E-3</v>
      </c>
      <c r="BH122" s="158">
        <f t="shared" si="104"/>
        <v>2.7862277931024622E-3</v>
      </c>
      <c r="BI122" s="159">
        <f t="shared" si="104"/>
        <v>2.4583845230180582E-3</v>
      </c>
      <c r="BJ122" s="158">
        <f t="shared" si="104"/>
        <v>2.9925281488836241E-3</v>
      </c>
      <c r="BK122" s="158">
        <f t="shared" si="104"/>
        <v>2.3271794412725094E-3</v>
      </c>
      <c r="BL122" s="158">
        <f t="shared" si="104"/>
        <v>2.2157706759832309E-3</v>
      </c>
      <c r="BM122" s="158">
        <f t="shared" si="104"/>
        <v>2.2395533215520983E-3</v>
      </c>
      <c r="BN122" s="158">
        <f t="shared" si="104"/>
        <v>1.9933002962265719E-3</v>
      </c>
      <c r="BO122" s="158">
        <f t="shared" ref="BO122:BU122" si="105">(BO35*4)/((BN78+BO78)/2)</f>
        <v>1.9516457985850643E-3</v>
      </c>
      <c r="BP122" s="159">
        <f t="shared" si="105"/>
        <v>1.5700035908870931E-3</v>
      </c>
      <c r="BQ122" s="158">
        <f t="shared" si="105"/>
        <v>1.5058076437718833E-3</v>
      </c>
      <c r="BR122" s="158">
        <f t="shared" si="105"/>
        <v>1.6106147866540852E-3</v>
      </c>
      <c r="BS122" s="158">
        <f t="shared" si="105"/>
        <v>1.6724440594983513E-3</v>
      </c>
      <c r="BT122" s="158">
        <f t="shared" si="105"/>
        <v>1.2072553468576723E-3</v>
      </c>
      <c r="BU122" s="158">
        <f t="shared" si="105"/>
        <v>1.6560474643999038E-3</v>
      </c>
      <c r="BV122" s="158">
        <f>((BV35+35)*4)/((BU78+BV78)/2)</f>
        <v>1.4117953022404013E-3</v>
      </c>
      <c r="BW122" s="160">
        <f t="shared" ref="BW122:CB122" si="106">(BW35*4)/((BV78+BW78)/2)</f>
        <v>1.2581105524009418E-3</v>
      </c>
      <c r="BX122" s="160">
        <f t="shared" si="106"/>
        <v>1.3515078975282766E-3</v>
      </c>
      <c r="BY122" s="160">
        <f t="shared" si="106"/>
        <v>1.7656811557904676E-3</v>
      </c>
      <c r="BZ122" s="158">
        <f t="shared" si="106"/>
        <v>1.4277928279737156E-3</v>
      </c>
      <c r="CA122" s="158">
        <f t="shared" si="106"/>
        <v>3.7211210202134333E-3</v>
      </c>
      <c r="CB122" s="158">
        <f t="shared" si="106"/>
        <v>3.2796966861119415E-3</v>
      </c>
      <c r="CC122" s="414">
        <f>(CC35*4)/((CB78+CC78)/2)</f>
        <v>3.3080686942648916E-3</v>
      </c>
      <c r="CD122" s="414">
        <f>(CD35*4)/((CC78+CD78)/2)</f>
        <v>3.5837268248744068E-3</v>
      </c>
      <c r="CE122" s="379">
        <f>(CE35*4)/((CD78+CE78)/2)</f>
        <v>4.93765830509558E-3</v>
      </c>
    </row>
    <row r="123" spans="1:84" x14ac:dyDescent="0.2">
      <c r="A123" s="11"/>
      <c r="B123" s="12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  <c r="AA123" s="163"/>
      <c r="AB123" s="163"/>
      <c r="AC123" s="164"/>
      <c r="AD123" s="164"/>
      <c r="AE123" s="164"/>
      <c r="AF123" s="164"/>
      <c r="AG123" s="164"/>
      <c r="AH123" s="164"/>
      <c r="AI123" s="164"/>
      <c r="AJ123" s="163"/>
      <c r="AK123" s="165"/>
      <c r="AL123" s="163"/>
      <c r="AM123" s="164"/>
      <c r="AN123" s="163"/>
      <c r="AO123" s="163"/>
      <c r="AP123" s="163"/>
      <c r="AQ123" s="163"/>
      <c r="AR123" s="163"/>
      <c r="AS123" s="165"/>
      <c r="AT123" s="164"/>
      <c r="AU123" s="164"/>
      <c r="AV123" s="163"/>
      <c r="AW123" s="163"/>
      <c r="AX123" s="163"/>
      <c r="AY123" s="163"/>
      <c r="AZ123" s="163"/>
      <c r="BA123" s="163"/>
      <c r="BB123" s="163"/>
      <c r="BC123" s="163"/>
      <c r="BD123" s="163"/>
      <c r="BE123" s="163"/>
      <c r="BF123" s="163"/>
      <c r="BG123" s="163"/>
      <c r="BH123" s="163"/>
      <c r="BI123" s="164"/>
      <c r="BJ123" s="163"/>
      <c r="BK123" s="163"/>
      <c r="BL123" s="163"/>
      <c r="BM123" s="163"/>
      <c r="BN123" s="163"/>
      <c r="BO123" s="163"/>
      <c r="BP123" s="165"/>
      <c r="BQ123" s="163"/>
      <c r="BR123" s="163"/>
      <c r="BS123" s="163"/>
      <c r="BT123" s="163"/>
      <c r="BU123" s="163"/>
      <c r="BV123" s="163"/>
      <c r="BW123" s="164"/>
      <c r="BX123" s="164"/>
      <c r="BY123" s="164"/>
      <c r="BZ123" s="163"/>
      <c r="CA123" s="163"/>
      <c r="CB123" s="163"/>
      <c r="CC123" s="415"/>
      <c r="CD123" s="415"/>
      <c r="CE123" s="380"/>
    </row>
    <row r="124" spans="1:84" x14ac:dyDescent="0.2">
      <c r="A124" s="39" t="s">
        <v>108</v>
      </c>
      <c r="B124" s="40"/>
      <c r="C124" s="149">
        <f t="shared" ref="C124:AH124" si="107">(C11*4)/((C73+B73)/2)</f>
        <v>8.6519330630980187E-3</v>
      </c>
      <c r="D124" s="149">
        <f t="shared" si="107"/>
        <v>6.168306652959317E-3</v>
      </c>
      <c r="E124" s="149">
        <f t="shared" si="107"/>
        <v>4.7084698247488949E-3</v>
      </c>
      <c r="F124" s="149">
        <f t="shared" si="107"/>
        <v>1.2455162102288704E-2</v>
      </c>
      <c r="G124" s="149">
        <f t="shared" si="107"/>
        <v>9.5649975745899004E-3</v>
      </c>
      <c r="H124" s="149">
        <f t="shared" si="107"/>
        <v>7.5111011920794809E-3</v>
      </c>
      <c r="I124" s="149">
        <f t="shared" si="107"/>
        <v>1.2603814531947748E-2</v>
      </c>
      <c r="J124" s="149">
        <f t="shared" si="107"/>
        <v>2.1047535859739223E-2</v>
      </c>
      <c r="K124" s="149">
        <f t="shared" si="107"/>
        <v>1.2660534619848266E-2</v>
      </c>
      <c r="L124" s="149">
        <f t="shared" si="107"/>
        <v>1.2269078416938341E-2</v>
      </c>
      <c r="M124" s="149">
        <f t="shared" si="107"/>
        <v>1.5095521899187548E-2</v>
      </c>
      <c r="N124" s="149">
        <f t="shared" si="107"/>
        <v>1.3221760233816389E-2</v>
      </c>
      <c r="O124" s="149">
        <f t="shared" si="107"/>
        <v>1.7152579572753218E-2</v>
      </c>
      <c r="P124" s="149">
        <f t="shared" si="107"/>
        <v>8.6131744609735626E-3</v>
      </c>
      <c r="Q124" s="149">
        <f t="shared" si="107"/>
        <v>6.5187354597952274E-3</v>
      </c>
      <c r="R124" s="149">
        <f t="shared" si="107"/>
        <v>8.5905327015896923E-3</v>
      </c>
      <c r="S124" s="149">
        <f t="shared" si="107"/>
        <v>8.3212304085582434E-3</v>
      </c>
      <c r="T124" s="149">
        <f t="shared" si="107"/>
        <v>7.9702842005240568E-3</v>
      </c>
      <c r="U124" s="149">
        <f t="shared" si="107"/>
        <v>8.4706842884114918E-3</v>
      </c>
      <c r="V124" s="149">
        <f t="shared" si="107"/>
        <v>8.0449675039522221E-3</v>
      </c>
      <c r="W124" s="149">
        <f t="shared" si="107"/>
        <v>1.0501318274462873E-2</v>
      </c>
      <c r="X124" s="149">
        <f t="shared" si="107"/>
        <v>9.6153846153846159E-3</v>
      </c>
      <c r="Y124" s="149">
        <f t="shared" si="107"/>
        <v>6.2937442352558187E-3</v>
      </c>
      <c r="Z124" s="149">
        <f t="shared" si="107"/>
        <v>7.5819639214174429E-3</v>
      </c>
      <c r="AA124" s="149">
        <f t="shared" si="107"/>
        <v>8.2451575599884353E-3</v>
      </c>
      <c r="AB124" s="149">
        <f t="shared" si="107"/>
        <v>6.2815355479063847E-3</v>
      </c>
      <c r="AC124" s="150">
        <f t="shared" si="107"/>
        <v>6.6617129018053728E-3</v>
      </c>
      <c r="AD124" s="151">
        <f t="shared" si="107"/>
        <v>7.8851359303283505E-3</v>
      </c>
      <c r="AE124" s="151">
        <f t="shared" si="107"/>
        <v>8.0102615442372675E-3</v>
      </c>
      <c r="AF124" s="151">
        <f t="shared" si="107"/>
        <v>6.4221275227144808E-3</v>
      </c>
      <c r="AG124" s="151">
        <f t="shared" si="107"/>
        <v>7.5482366244964318E-3</v>
      </c>
      <c r="AH124" s="151">
        <f t="shared" si="107"/>
        <v>1.0357444168677492E-2</v>
      </c>
      <c r="AI124" s="151">
        <f t="shared" ref="AI124:BN124" si="108">(AI11*4)/((AI73+AH73)/2)</f>
        <v>1.0108222787003568E-2</v>
      </c>
      <c r="AJ124" s="149">
        <f t="shared" si="108"/>
        <v>1.1722868528744259E-2</v>
      </c>
      <c r="AK124" s="151">
        <f t="shared" si="108"/>
        <v>8.9062387045470981E-3</v>
      </c>
      <c r="AL124" s="149">
        <f t="shared" si="108"/>
        <v>8.2508250825082501E-3</v>
      </c>
      <c r="AM124" s="151">
        <f t="shared" si="108"/>
        <v>7.5979214881446225E-3</v>
      </c>
      <c r="AN124" s="149">
        <f t="shared" si="108"/>
        <v>7.2077296687136898E-3</v>
      </c>
      <c r="AO124" s="149">
        <f t="shared" si="108"/>
        <v>5.6975998860480026E-3</v>
      </c>
      <c r="AP124" s="149">
        <f t="shared" si="108"/>
        <v>6.3213737260924188E-3</v>
      </c>
      <c r="AQ124" s="149">
        <f t="shared" si="108"/>
        <v>5.9137105154221121E-3</v>
      </c>
      <c r="AR124" s="149">
        <f t="shared" si="108"/>
        <v>4.2840169352544475E-3</v>
      </c>
      <c r="AS124" s="150">
        <f t="shared" si="108"/>
        <v>6.8177810865348827E-3</v>
      </c>
      <c r="AT124" s="151">
        <f t="shared" si="108"/>
        <v>5.8602291612000349E-3</v>
      </c>
      <c r="AU124" s="151">
        <f t="shared" si="108"/>
        <v>5.5286800276433999E-3</v>
      </c>
      <c r="AV124" s="149">
        <f t="shared" si="108"/>
        <v>4.0634433849250085E-3</v>
      </c>
      <c r="AW124" s="149">
        <f t="shared" si="108"/>
        <v>3.6850461610835605E-3</v>
      </c>
      <c r="AX124" s="149">
        <f t="shared" si="108"/>
        <v>3.4532590131937015E-3</v>
      </c>
      <c r="AY124" s="149">
        <f t="shared" si="108"/>
        <v>4.4782646724394297E-3</v>
      </c>
      <c r="AZ124" s="149">
        <f t="shared" si="108"/>
        <v>3.449412838917493E-3</v>
      </c>
      <c r="BA124" s="149">
        <f t="shared" si="108"/>
        <v>4.061306386887782E-3</v>
      </c>
      <c r="BB124" s="149">
        <f t="shared" si="108"/>
        <v>3.9418141169895128E-3</v>
      </c>
      <c r="BC124" s="149">
        <f t="shared" si="108"/>
        <v>4.2182135266227048E-3</v>
      </c>
      <c r="BD124" s="149">
        <f t="shared" si="108"/>
        <v>3.1166700840680748E-3</v>
      </c>
      <c r="BE124" s="149">
        <f t="shared" si="108"/>
        <v>3.3198950693825663E-3</v>
      </c>
      <c r="BF124" s="149">
        <f t="shared" si="108"/>
        <v>3.9164686121834344E-3</v>
      </c>
      <c r="BG124" s="149">
        <f t="shared" si="108"/>
        <v>4.9594055797055076E-3</v>
      </c>
      <c r="BH124" s="149">
        <f t="shared" si="108"/>
        <v>4.4441929726198618E-3</v>
      </c>
      <c r="BI124" s="150">
        <f t="shared" si="108"/>
        <v>4.5857613640507442E-3</v>
      </c>
      <c r="BJ124" s="149">
        <f t="shared" si="108"/>
        <v>5.3279827257037265E-3</v>
      </c>
      <c r="BK124" s="149">
        <f t="shared" si="108"/>
        <v>4.2539307969264636E-3</v>
      </c>
      <c r="BL124" s="149">
        <f t="shared" si="108"/>
        <v>3.6648162899642661E-3</v>
      </c>
      <c r="BM124" s="149">
        <f t="shared" si="108"/>
        <v>3.4304145716725172E-3</v>
      </c>
      <c r="BN124" s="149">
        <f t="shared" si="108"/>
        <v>3.4017197427729192E-3</v>
      </c>
      <c r="BO124" s="149">
        <f t="shared" ref="BO124:CE124" si="109">(BO11*4)/((BO73+BN73)/2)</f>
        <v>3.2717589452562405E-3</v>
      </c>
      <c r="BP124" s="150">
        <f t="shared" si="109"/>
        <v>2.5992505238795296E-3</v>
      </c>
      <c r="BQ124" s="149">
        <f t="shared" si="109"/>
        <v>2.6583546556808516E-3</v>
      </c>
      <c r="BR124" s="149">
        <f t="shared" si="109"/>
        <v>3.0348373809877217E-3</v>
      </c>
      <c r="BS124" s="149">
        <f t="shared" si="109"/>
        <v>3.0306581657505503E-3</v>
      </c>
      <c r="BT124" s="149">
        <f t="shared" si="109"/>
        <v>2.2024743407266594E-3</v>
      </c>
      <c r="BU124" s="149">
        <f t="shared" si="109"/>
        <v>2.4935562277309687E-3</v>
      </c>
      <c r="BV124" s="149">
        <f t="shared" si="109"/>
        <v>2.5676984736416088E-3</v>
      </c>
      <c r="BW124" s="151">
        <f t="shared" si="109"/>
        <v>2.6004152728308157E-3</v>
      </c>
      <c r="BX124" s="151">
        <f t="shared" si="109"/>
        <v>2.1956735301987555E-3</v>
      </c>
      <c r="BY124" s="151">
        <f t="shared" si="109"/>
        <v>2.4954866190372306E-3</v>
      </c>
      <c r="BZ124" s="149">
        <f t="shared" si="109"/>
        <v>2.286499459044627E-3</v>
      </c>
      <c r="CA124" s="149">
        <f t="shared" si="109"/>
        <v>5.1562282823257692E-3</v>
      </c>
      <c r="CB124" s="149">
        <f t="shared" si="109"/>
        <v>4.7095646708356625E-3</v>
      </c>
      <c r="CC124" s="413">
        <f t="shared" si="109"/>
        <v>4.0698214824125868E-3</v>
      </c>
      <c r="CD124" s="413">
        <f t="shared" si="109"/>
        <v>3.6058415156178109E-3</v>
      </c>
      <c r="CE124" s="378">
        <f t="shared" si="109"/>
        <v>4.7598789428964306E-3</v>
      </c>
    </row>
    <row r="125" spans="1:84" ht="15" x14ac:dyDescent="0.2">
      <c r="A125" s="47" t="s">
        <v>205</v>
      </c>
      <c r="B125" s="48"/>
      <c r="C125" s="153">
        <f t="shared" ref="C125:AH125" si="110">(C12*4)/((B74+C74)/2)</f>
        <v>0</v>
      </c>
      <c r="D125" s="153">
        <f t="shared" si="110"/>
        <v>0</v>
      </c>
      <c r="E125" s="153">
        <f t="shared" si="110"/>
        <v>6.1538461538461538E-3</v>
      </c>
      <c r="F125" s="153">
        <f t="shared" si="110"/>
        <v>5.8181818181818187E-3</v>
      </c>
      <c r="G125" s="153">
        <f t="shared" si="110"/>
        <v>5.5172413793103453E-3</v>
      </c>
      <c r="H125" s="153">
        <f t="shared" si="110"/>
        <v>9.0322580645161282E-3</v>
      </c>
      <c r="I125" s="153">
        <f t="shared" si="110"/>
        <v>5.9701492537313433E-3</v>
      </c>
      <c r="J125" s="153">
        <f t="shared" si="110"/>
        <v>4.383561643835617E-3</v>
      </c>
      <c r="K125" s="153">
        <f t="shared" si="110"/>
        <v>3.1168831168831169E-3</v>
      </c>
      <c r="L125" s="153">
        <f t="shared" si="110"/>
        <v>4.0506329113924053E-3</v>
      </c>
      <c r="M125" s="153">
        <f t="shared" si="110"/>
        <v>5.4545454545454541E-3</v>
      </c>
      <c r="N125" s="153">
        <f t="shared" si="110"/>
        <v>4.8979591836734691E-3</v>
      </c>
      <c r="O125" s="153">
        <f t="shared" si="110"/>
        <v>6.918238993710692E-3</v>
      </c>
      <c r="P125" s="153">
        <f t="shared" si="110"/>
        <v>1.0289389067524116E-2</v>
      </c>
      <c r="Q125" s="153">
        <f t="shared" si="110"/>
        <v>7.1301247771836003E-3</v>
      </c>
      <c r="R125" s="153">
        <f t="shared" si="110"/>
        <v>1.0821643286573148E-2</v>
      </c>
      <c r="S125" s="153">
        <f t="shared" si="110"/>
        <v>2.218168551623495E-2</v>
      </c>
      <c r="T125" s="153">
        <f t="shared" si="110"/>
        <v>1.0816542948038176E-2</v>
      </c>
      <c r="U125" s="153">
        <f t="shared" si="110"/>
        <v>1.2212589521296644E-2</v>
      </c>
      <c r="V125" s="153">
        <f t="shared" si="110"/>
        <v>1.3945578231292518E-2</v>
      </c>
      <c r="W125" s="153">
        <f t="shared" si="110"/>
        <v>1.4878638226331826E-2</v>
      </c>
      <c r="X125" s="153">
        <f t="shared" si="110"/>
        <v>9.5556617295747739E-3</v>
      </c>
      <c r="Y125" s="153">
        <f t="shared" si="110"/>
        <v>4.5349730976172176E-3</v>
      </c>
      <c r="Z125" s="153">
        <f t="shared" si="110"/>
        <v>5.6690837178642057E-3</v>
      </c>
      <c r="AA125" s="153">
        <f t="shared" si="110"/>
        <v>7.5200918484500572E-3</v>
      </c>
      <c r="AB125" s="153">
        <f t="shared" si="110"/>
        <v>8.778869465356642E-3</v>
      </c>
      <c r="AC125" s="154">
        <f t="shared" si="110"/>
        <v>8.9845653939886281E-3</v>
      </c>
      <c r="AD125" s="155">
        <f t="shared" si="110"/>
        <v>8.4920945304206939E-3</v>
      </c>
      <c r="AE125" s="155">
        <f t="shared" si="110"/>
        <v>5.7234080293265535E-3</v>
      </c>
      <c r="AF125" s="155">
        <f t="shared" si="110"/>
        <v>7.0258486452818431E-3</v>
      </c>
      <c r="AG125" s="155">
        <f t="shared" si="110"/>
        <v>4.243750414428751E-3</v>
      </c>
      <c r="AH125" s="155">
        <f t="shared" si="110"/>
        <v>4.2511713495343448E-3</v>
      </c>
      <c r="AI125" s="155">
        <f t="shared" ref="AI125:BN125" si="111">(AI12*4)/((AH74+AI74)/2)</f>
        <v>4.4298223853939268E-3</v>
      </c>
      <c r="AJ125" s="153">
        <f t="shared" si="111"/>
        <v>5.5130935972935724E-3</v>
      </c>
      <c r="AK125" s="155">
        <f t="shared" si="111"/>
        <v>5.0243973138798977E-3</v>
      </c>
      <c r="AL125" s="153">
        <f t="shared" si="111"/>
        <v>5.5372338259842844E-3</v>
      </c>
      <c r="AM125" s="155">
        <f t="shared" si="111"/>
        <v>5.4717690913443449E-3</v>
      </c>
      <c r="AN125" s="153">
        <f t="shared" si="111"/>
        <v>5.5345911949685536E-3</v>
      </c>
      <c r="AO125" s="153">
        <f t="shared" si="111"/>
        <v>4.4460911448684698E-3</v>
      </c>
      <c r="AP125" s="153">
        <f t="shared" si="111"/>
        <v>4.8762081676486805E-3</v>
      </c>
      <c r="AQ125" s="153">
        <f t="shared" si="111"/>
        <v>4.6302676184438989E-3</v>
      </c>
      <c r="AR125" s="153">
        <f t="shared" si="111"/>
        <v>4.0549553154595169E-3</v>
      </c>
      <c r="AS125" s="154">
        <f t="shared" si="111"/>
        <v>3.8070311105823569E-3</v>
      </c>
      <c r="AT125" s="155">
        <f t="shared" si="111"/>
        <v>3.7527223990618196E-3</v>
      </c>
      <c r="AU125" s="155">
        <f t="shared" si="111"/>
        <v>4.1725470945572808E-3</v>
      </c>
      <c r="AV125" s="153">
        <f t="shared" si="111"/>
        <v>3.5034450543033981E-3</v>
      </c>
      <c r="AW125" s="153">
        <f t="shared" si="111"/>
        <v>3.6878043158834885E-3</v>
      </c>
      <c r="AX125" s="153">
        <f t="shared" si="111"/>
        <v>3.69484894588133E-3</v>
      </c>
      <c r="AY125" s="153">
        <f t="shared" si="111"/>
        <v>3.745872147469072E-3</v>
      </c>
      <c r="AZ125" s="153">
        <f t="shared" si="111"/>
        <v>3.6117381489841984E-3</v>
      </c>
      <c r="BA125" s="153">
        <f t="shared" si="111"/>
        <v>3.6485001762059746E-3</v>
      </c>
      <c r="BB125" s="153">
        <f t="shared" si="111"/>
        <v>3.2900271053369476E-3</v>
      </c>
      <c r="BC125" s="153">
        <f t="shared" si="111"/>
        <v>3.3084635900205933E-3</v>
      </c>
      <c r="BD125" s="153">
        <f t="shared" si="111"/>
        <v>3.2101774514757897E-3</v>
      </c>
      <c r="BE125" s="153">
        <f t="shared" si="111"/>
        <v>3.3256649311861806E-3</v>
      </c>
      <c r="BF125" s="153">
        <f t="shared" si="111"/>
        <v>3.1839682620416051E-3</v>
      </c>
      <c r="BG125" s="153">
        <f t="shared" si="111"/>
        <v>3.546138587528674E-3</v>
      </c>
      <c r="BH125" s="153">
        <f t="shared" si="111"/>
        <v>3.6022759834622785E-3</v>
      </c>
      <c r="BI125" s="154">
        <f t="shared" si="111"/>
        <v>3.2485029757981336E-3</v>
      </c>
      <c r="BJ125" s="153">
        <f t="shared" si="111"/>
        <v>3.2599695514616126E-3</v>
      </c>
      <c r="BK125" s="153">
        <f t="shared" si="111"/>
        <v>3.0965589882384942E-3</v>
      </c>
      <c r="BL125" s="153">
        <f t="shared" si="111"/>
        <v>3.2223710155319129E-3</v>
      </c>
      <c r="BM125" s="153">
        <f t="shared" si="111"/>
        <v>3.4417578162810954E-3</v>
      </c>
      <c r="BN125" s="153">
        <f t="shared" si="111"/>
        <v>3.3581926053159695E-3</v>
      </c>
      <c r="BO125" s="153">
        <f t="shared" ref="BO125:BV125" si="112">(BO12*4)/((BN74+BO74)/2)</f>
        <v>3.3179235004623759E-3</v>
      </c>
      <c r="BP125" s="154">
        <f t="shared" si="112"/>
        <v>3.4510963363918838E-3</v>
      </c>
      <c r="BQ125" s="153">
        <f t="shared" si="112"/>
        <v>3.2830295380345612E-3</v>
      </c>
      <c r="BR125" s="153">
        <f t="shared" si="112"/>
        <v>3.2812335537380504E-3</v>
      </c>
      <c r="BS125" s="153">
        <f t="shared" si="112"/>
        <v>3.5450342765108397E-3</v>
      </c>
      <c r="BT125" s="153">
        <f t="shared" si="112"/>
        <v>3.4846872787073291E-3</v>
      </c>
      <c r="BU125" s="153">
        <f t="shared" si="112"/>
        <v>3.5140461064809944E-3</v>
      </c>
      <c r="BV125" s="153">
        <f t="shared" si="112"/>
        <v>3.3387513046770779E-3</v>
      </c>
      <c r="BW125" s="155">
        <v>3.4499999999999999E-3</v>
      </c>
      <c r="BX125" s="155">
        <v>3.4499999999999999E-3</v>
      </c>
      <c r="BY125" s="155">
        <v>3.4099999999999998E-3</v>
      </c>
      <c r="BZ125" s="153">
        <v>3.3500000000000001E-3</v>
      </c>
      <c r="CA125" s="153">
        <v>3.31E-3</v>
      </c>
      <c r="CB125" s="153">
        <v>3.3999999999999998E-3</v>
      </c>
      <c r="CC125" s="416">
        <v>3.5400000000000002E-3</v>
      </c>
      <c r="CD125" s="416">
        <v>3.6440405508592999E-3</v>
      </c>
      <c r="CE125" s="426">
        <v>3.7727343398269797E-3</v>
      </c>
    </row>
    <row r="126" spans="1:84" x14ac:dyDescent="0.2">
      <c r="A126" s="11"/>
      <c r="B126" s="12"/>
      <c r="C126" s="32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  <c r="AA126" s="163"/>
      <c r="AB126" s="163"/>
      <c r="AC126" s="164"/>
      <c r="AD126" s="164"/>
      <c r="AE126" s="164"/>
      <c r="AF126" s="164"/>
      <c r="AG126" s="164"/>
      <c r="AH126" s="164"/>
      <c r="AI126" s="164"/>
      <c r="AJ126" s="163"/>
      <c r="AK126" s="164"/>
      <c r="AL126" s="163"/>
      <c r="AM126" s="164"/>
      <c r="AN126" s="163"/>
      <c r="AO126" s="163"/>
      <c r="AP126" s="163"/>
      <c r="AQ126" s="163"/>
      <c r="AR126" s="163"/>
      <c r="AS126" s="165"/>
      <c r="AT126" s="164"/>
      <c r="AU126" s="164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4"/>
      <c r="BJ126" s="163"/>
      <c r="BK126" s="163"/>
      <c r="BL126" s="163"/>
      <c r="BM126" s="163"/>
      <c r="BN126" s="163"/>
      <c r="BO126" s="163"/>
      <c r="BP126" s="165"/>
      <c r="BQ126" s="163"/>
      <c r="BR126" s="163"/>
      <c r="BS126" s="163"/>
      <c r="BT126" s="163"/>
      <c r="BU126" s="163"/>
      <c r="BV126" s="163"/>
      <c r="BW126" s="164"/>
      <c r="BX126" s="164"/>
      <c r="BY126" s="164"/>
      <c r="BZ126" s="163"/>
      <c r="CA126" s="163"/>
      <c r="CB126" s="163"/>
      <c r="CC126" s="415"/>
      <c r="CD126" s="415"/>
      <c r="CE126" s="380"/>
    </row>
    <row r="127" spans="1:84" x14ac:dyDescent="0.2">
      <c r="A127" s="304" t="s">
        <v>162</v>
      </c>
      <c r="B127" s="7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3"/>
      <c r="AD127" s="33"/>
      <c r="AE127" s="33"/>
      <c r="AF127" s="33"/>
      <c r="AG127" s="33"/>
      <c r="AH127" s="33"/>
      <c r="AI127" s="33"/>
      <c r="AJ127" s="32"/>
      <c r="AK127" s="7"/>
      <c r="AL127" s="32"/>
      <c r="AM127" s="33"/>
      <c r="AN127" s="32"/>
      <c r="AO127" s="32"/>
      <c r="AP127" s="32"/>
      <c r="AQ127" s="32"/>
      <c r="AR127" s="32"/>
      <c r="AS127" s="7"/>
      <c r="AT127" s="33"/>
      <c r="AU127" s="33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3"/>
      <c r="BJ127" s="32"/>
      <c r="BK127" s="32"/>
      <c r="BL127" s="32"/>
      <c r="BM127" s="32"/>
      <c r="BN127" s="32"/>
      <c r="BO127" s="32"/>
      <c r="BP127" s="7"/>
      <c r="BQ127" s="32"/>
      <c r="BR127" s="7"/>
      <c r="BS127" s="32"/>
      <c r="BT127" s="32"/>
      <c r="BU127" s="32"/>
      <c r="BV127" s="32"/>
      <c r="BW127" s="33"/>
      <c r="BX127" s="33"/>
      <c r="BY127" s="33"/>
      <c r="BZ127" s="32"/>
      <c r="CA127" s="32"/>
      <c r="CB127" s="32"/>
      <c r="CC127" s="392"/>
      <c r="CD127" s="392"/>
      <c r="CE127" s="361"/>
    </row>
    <row r="128" spans="1:84" x14ac:dyDescent="0.2">
      <c r="A128" s="39" t="s">
        <v>151</v>
      </c>
      <c r="B128" s="40"/>
      <c r="C128" s="41">
        <v>58</v>
      </c>
      <c r="D128" s="41">
        <v>61</v>
      </c>
      <c r="E128" s="41">
        <v>70</v>
      </c>
      <c r="F128" s="41">
        <v>65</v>
      </c>
      <c r="G128" s="41">
        <v>57</v>
      </c>
      <c r="H128" s="41">
        <v>58</v>
      </c>
      <c r="I128" s="41">
        <v>58</v>
      </c>
      <c r="J128" s="41">
        <v>53</v>
      </c>
      <c r="K128" s="41">
        <v>53</v>
      </c>
      <c r="L128" s="41">
        <v>52</v>
      </c>
      <c r="M128" s="41">
        <v>54</v>
      </c>
      <c r="N128" s="41">
        <v>61</v>
      </c>
      <c r="O128" s="41">
        <v>75</v>
      </c>
      <c r="P128" s="41">
        <v>74</v>
      </c>
      <c r="Q128" s="41">
        <v>72</v>
      </c>
      <c r="R128" s="41">
        <v>73</v>
      </c>
      <c r="S128" s="41">
        <v>77</v>
      </c>
      <c r="T128" s="41">
        <v>93</v>
      </c>
      <c r="U128" s="41">
        <v>96</v>
      </c>
      <c r="V128" s="41">
        <v>94</v>
      </c>
      <c r="W128" s="41">
        <v>101</v>
      </c>
      <c r="X128" s="41">
        <v>130</v>
      </c>
      <c r="Y128" s="41">
        <v>143</v>
      </c>
      <c r="Z128" s="41">
        <v>157</v>
      </c>
      <c r="AA128" s="41">
        <v>161</v>
      </c>
      <c r="AB128" s="41">
        <v>173</v>
      </c>
      <c r="AC128" s="42">
        <v>184</v>
      </c>
      <c r="AD128" s="42">
        <v>210</v>
      </c>
      <c r="AE128" s="42">
        <v>207</v>
      </c>
      <c r="AF128" s="42">
        <v>193</v>
      </c>
      <c r="AG128" s="42">
        <v>191</v>
      </c>
      <c r="AH128" s="42">
        <v>192</v>
      </c>
      <c r="AI128" s="42">
        <v>179</v>
      </c>
      <c r="AJ128" s="41">
        <v>178</v>
      </c>
      <c r="AK128" s="43">
        <v>184</v>
      </c>
      <c r="AL128" s="41">
        <v>194</v>
      </c>
      <c r="AM128" s="42">
        <v>215</v>
      </c>
      <c r="AN128" s="41">
        <v>228</v>
      </c>
      <c r="AO128" s="41">
        <v>243</v>
      </c>
      <c r="AP128" s="41">
        <v>244</v>
      </c>
      <c r="AQ128" s="41">
        <v>249</v>
      </c>
      <c r="AR128" s="41">
        <v>259</v>
      </c>
      <c r="AS128" s="43">
        <v>266</v>
      </c>
      <c r="AT128" s="42">
        <v>260</v>
      </c>
      <c r="AU128" s="42">
        <v>265</v>
      </c>
      <c r="AV128" s="41">
        <v>269</v>
      </c>
      <c r="AW128" s="41">
        <v>281</v>
      </c>
      <c r="AX128" s="41">
        <v>262</v>
      </c>
      <c r="AY128" s="41">
        <v>276</v>
      </c>
      <c r="AZ128" s="41">
        <v>265</v>
      </c>
      <c r="BA128" s="41">
        <v>266</v>
      </c>
      <c r="BB128" s="41">
        <v>264</v>
      </c>
      <c r="BC128" s="41">
        <v>282</v>
      </c>
      <c r="BD128" s="41">
        <v>281</v>
      </c>
      <c r="BE128" s="41">
        <v>290</v>
      </c>
      <c r="BF128" s="41">
        <v>296</v>
      </c>
      <c r="BG128" s="41">
        <v>320</v>
      </c>
      <c r="BH128" s="41">
        <v>324</v>
      </c>
      <c r="BI128" s="42">
        <v>340</v>
      </c>
      <c r="BJ128" s="41">
        <v>334</v>
      </c>
      <c r="BK128" s="41">
        <v>330</v>
      </c>
      <c r="BL128" s="41">
        <v>332</v>
      </c>
      <c r="BM128" s="41">
        <v>355</v>
      </c>
      <c r="BN128" s="41">
        <v>365</v>
      </c>
      <c r="BO128" s="41">
        <v>374</v>
      </c>
      <c r="BP128" s="43">
        <v>379</v>
      </c>
      <c r="BQ128" s="41">
        <v>405</v>
      </c>
      <c r="BR128" s="43">
        <v>390</v>
      </c>
      <c r="BS128" s="41">
        <v>395</v>
      </c>
      <c r="BT128" s="41">
        <v>407</v>
      </c>
      <c r="BU128" s="41">
        <v>416</v>
      </c>
      <c r="BV128" s="41">
        <v>422</v>
      </c>
      <c r="BW128" s="42">
        <v>419</v>
      </c>
      <c r="BX128" s="42">
        <v>417</v>
      </c>
      <c r="BY128" s="42">
        <v>443</v>
      </c>
      <c r="BZ128" s="41">
        <v>445</v>
      </c>
      <c r="CA128" s="41">
        <v>460</v>
      </c>
      <c r="CB128" s="41">
        <v>472</v>
      </c>
      <c r="CC128" s="393">
        <v>502</v>
      </c>
      <c r="CD128" s="393">
        <v>510</v>
      </c>
      <c r="CE128" s="452">
        <v>526</v>
      </c>
    </row>
    <row r="129" spans="1:84" x14ac:dyDescent="0.2">
      <c r="A129" s="47" t="s">
        <v>152</v>
      </c>
      <c r="B129" s="48"/>
      <c r="C129" s="49">
        <v>57</v>
      </c>
      <c r="D129" s="49">
        <v>57</v>
      </c>
      <c r="E129" s="49">
        <v>78</v>
      </c>
      <c r="F129" s="49">
        <v>65</v>
      </c>
      <c r="G129" s="49">
        <v>65</v>
      </c>
      <c r="H129" s="49">
        <v>62</v>
      </c>
      <c r="I129" s="49">
        <v>61</v>
      </c>
      <c r="J129" s="49">
        <v>58</v>
      </c>
      <c r="K129" s="49">
        <v>53</v>
      </c>
      <c r="L129" s="49">
        <v>51</v>
      </c>
      <c r="M129" s="49">
        <v>56</v>
      </c>
      <c r="N129" s="49">
        <v>61</v>
      </c>
      <c r="O129" s="49">
        <v>69</v>
      </c>
      <c r="P129" s="49">
        <v>73</v>
      </c>
      <c r="Q129" s="49">
        <v>74</v>
      </c>
      <c r="R129" s="49">
        <v>77</v>
      </c>
      <c r="S129" s="49">
        <v>82</v>
      </c>
      <c r="T129" s="49">
        <v>92</v>
      </c>
      <c r="U129" s="49">
        <v>97</v>
      </c>
      <c r="V129" s="49">
        <v>103</v>
      </c>
      <c r="W129" s="49">
        <v>119</v>
      </c>
      <c r="X129" s="49">
        <v>123</v>
      </c>
      <c r="Y129" s="49">
        <v>145</v>
      </c>
      <c r="Z129" s="49">
        <v>157</v>
      </c>
      <c r="AA129" s="49">
        <v>161</v>
      </c>
      <c r="AB129" s="49">
        <v>170</v>
      </c>
      <c r="AC129" s="50">
        <v>186</v>
      </c>
      <c r="AD129" s="50">
        <v>202</v>
      </c>
      <c r="AE129" s="50">
        <v>202</v>
      </c>
      <c r="AF129" s="50">
        <v>200</v>
      </c>
      <c r="AG129" s="50">
        <v>199</v>
      </c>
      <c r="AH129" s="50">
        <v>188</v>
      </c>
      <c r="AI129" s="50">
        <v>180</v>
      </c>
      <c r="AJ129" s="49">
        <v>177</v>
      </c>
      <c r="AK129" s="51">
        <v>186</v>
      </c>
      <c r="AL129" s="49">
        <v>184</v>
      </c>
      <c r="AM129" s="50">
        <v>205</v>
      </c>
      <c r="AN129" s="49">
        <v>222</v>
      </c>
      <c r="AO129" s="49">
        <v>236</v>
      </c>
      <c r="AP129" s="49">
        <v>244</v>
      </c>
      <c r="AQ129" s="49">
        <f t="shared" ref="AQ129:AW129" si="113">AVERAGE(AP128:AQ128)</f>
        <v>246.5</v>
      </c>
      <c r="AR129" s="49">
        <f t="shared" si="113"/>
        <v>254</v>
      </c>
      <c r="AS129" s="51">
        <f t="shared" si="113"/>
        <v>262.5</v>
      </c>
      <c r="AT129" s="50">
        <f t="shared" si="113"/>
        <v>263</v>
      </c>
      <c r="AU129" s="50">
        <f t="shared" si="113"/>
        <v>262.5</v>
      </c>
      <c r="AV129" s="49">
        <f t="shared" si="113"/>
        <v>267</v>
      </c>
      <c r="AW129" s="49">
        <f t="shared" si="113"/>
        <v>275</v>
      </c>
      <c r="AX129" s="49">
        <f>+(AW128+271)/2</f>
        <v>276</v>
      </c>
      <c r="AY129" s="49">
        <f t="shared" ref="AY129:BR129" si="114">AVERAGE(AX128:AY128)</f>
        <v>269</v>
      </c>
      <c r="AZ129" s="49">
        <f t="shared" si="114"/>
        <v>270.5</v>
      </c>
      <c r="BA129" s="49">
        <f t="shared" si="114"/>
        <v>265.5</v>
      </c>
      <c r="BB129" s="49">
        <f t="shared" si="114"/>
        <v>265</v>
      </c>
      <c r="BC129" s="49">
        <f t="shared" si="114"/>
        <v>273</v>
      </c>
      <c r="BD129" s="49">
        <f t="shared" si="114"/>
        <v>281.5</v>
      </c>
      <c r="BE129" s="49">
        <f t="shared" si="114"/>
        <v>285.5</v>
      </c>
      <c r="BF129" s="49">
        <f t="shared" si="114"/>
        <v>293</v>
      </c>
      <c r="BG129" s="49">
        <f t="shared" si="114"/>
        <v>308</v>
      </c>
      <c r="BH129" s="49">
        <f t="shared" si="114"/>
        <v>322</v>
      </c>
      <c r="BI129" s="51">
        <f t="shared" si="114"/>
        <v>332</v>
      </c>
      <c r="BJ129" s="49">
        <f t="shared" si="114"/>
        <v>337</v>
      </c>
      <c r="BK129" s="49">
        <f t="shared" si="114"/>
        <v>332</v>
      </c>
      <c r="BL129" s="49">
        <f t="shared" si="114"/>
        <v>331</v>
      </c>
      <c r="BM129" s="49">
        <f t="shared" si="114"/>
        <v>343.5</v>
      </c>
      <c r="BN129" s="49">
        <f t="shared" si="114"/>
        <v>360</v>
      </c>
      <c r="BO129" s="49">
        <f t="shared" si="114"/>
        <v>369.5</v>
      </c>
      <c r="BP129" s="51">
        <f t="shared" si="114"/>
        <v>376.5</v>
      </c>
      <c r="BQ129" s="49">
        <f t="shared" si="114"/>
        <v>392</v>
      </c>
      <c r="BR129" s="49">
        <f t="shared" si="114"/>
        <v>397.5</v>
      </c>
      <c r="BS129" s="49">
        <v>393</v>
      </c>
      <c r="BT129" s="49">
        <v>401</v>
      </c>
      <c r="BU129" s="49">
        <v>412</v>
      </c>
      <c r="BV129" s="49">
        <v>419</v>
      </c>
      <c r="BW129" s="50">
        <v>421</v>
      </c>
      <c r="BX129" s="50">
        <v>418</v>
      </c>
      <c r="BY129" s="50">
        <v>430</v>
      </c>
      <c r="BZ129" s="49">
        <v>444</v>
      </c>
      <c r="CA129" s="49">
        <v>452</v>
      </c>
      <c r="CB129" s="49">
        <v>466</v>
      </c>
      <c r="CC129" s="394">
        <v>487</v>
      </c>
      <c r="CD129" s="394">
        <v>506</v>
      </c>
      <c r="CE129" s="453">
        <v>518</v>
      </c>
    </row>
    <row r="130" spans="1:84" x14ac:dyDescent="0.2">
      <c r="A130" s="47" t="s">
        <v>91</v>
      </c>
      <c r="B130" s="48"/>
      <c r="C130" s="101">
        <f t="shared" ref="C130:AH130" si="115">+C23*4/C129</f>
        <v>1.5157894736842104</v>
      </c>
      <c r="D130" s="101">
        <f t="shared" si="115"/>
        <v>1.1578947368421053</v>
      </c>
      <c r="E130" s="101">
        <f t="shared" si="115"/>
        <v>1.1076923076923078</v>
      </c>
      <c r="F130" s="101">
        <f t="shared" si="115"/>
        <v>2.1661538461538465</v>
      </c>
      <c r="G130" s="101">
        <f t="shared" si="115"/>
        <v>1.8276923076923077</v>
      </c>
      <c r="H130" s="101">
        <f t="shared" si="115"/>
        <v>1.5870967741935484</v>
      </c>
      <c r="I130" s="101">
        <f t="shared" si="115"/>
        <v>1.980327868852459</v>
      </c>
      <c r="J130" s="101">
        <f t="shared" si="115"/>
        <v>2.6275862068965514</v>
      </c>
      <c r="K130" s="101">
        <f t="shared" si="115"/>
        <v>2.1832452830188682</v>
      </c>
      <c r="L130" s="101">
        <f t="shared" si="115"/>
        <v>2.6269803921568626</v>
      </c>
      <c r="M130" s="101">
        <f t="shared" si="115"/>
        <v>2.9078571428571429</v>
      </c>
      <c r="N130" s="101">
        <f t="shared" si="115"/>
        <v>3.0432786885245902</v>
      </c>
      <c r="O130" s="101">
        <f t="shared" si="115"/>
        <v>3.7918840579710142</v>
      </c>
      <c r="P130" s="101">
        <f t="shared" si="115"/>
        <v>2.7040000000000002</v>
      </c>
      <c r="Q130" s="101">
        <f t="shared" si="115"/>
        <v>2.179945945945946</v>
      </c>
      <c r="R130" s="101">
        <f t="shared" si="115"/>
        <v>2.8430649350649349</v>
      </c>
      <c r="S130" s="101">
        <f t="shared" si="115"/>
        <v>2.9658536585365853</v>
      </c>
      <c r="T130" s="101">
        <f t="shared" si="115"/>
        <v>2.8642608695652179</v>
      </c>
      <c r="U130" s="101">
        <f t="shared" si="115"/>
        <v>3.0469278350515459</v>
      </c>
      <c r="V130" s="101">
        <f t="shared" si="115"/>
        <v>3.2344854368932037</v>
      </c>
      <c r="W130" s="101">
        <f t="shared" si="115"/>
        <v>4.1495798319327735</v>
      </c>
      <c r="X130" s="101">
        <f t="shared" si="115"/>
        <v>4.0715447154471542</v>
      </c>
      <c r="Y130" s="101">
        <f t="shared" si="115"/>
        <v>2.3877241379310341</v>
      </c>
      <c r="Z130" s="101">
        <f t="shared" si="115"/>
        <v>2.9971464968152866</v>
      </c>
      <c r="AA130" s="101">
        <f t="shared" si="115"/>
        <v>3.3621118012422357</v>
      </c>
      <c r="AB130" s="101">
        <f t="shared" si="115"/>
        <v>3.2594117647058827</v>
      </c>
      <c r="AC130" s="103">
        <f t="shared" si="115"/>
        <v>2.8066656989247312</v>
      </c>
      <c r="AD130" s="103">
        <f t="shared" si="115"/>
        <v>2.9725475247524753</v>
      </c>
      <c r="AE130" s="103">
        <f t="shared" si="115"/>
        <v>2.6999999801980201</v>
      </c>
      <c r="AF130" s="103">
        <f t="shared" si="115"/>
        <v>2.5900524000000003</v>
      </c>
      <c r="AG130" s="103">
        <f t="shared" si="115"/>
        <v>2.3425488884422108</v>
      </c>
      <c r="AH130" s="103">
        <f t="shared" si="115"/>
        <v>2.6279300170212769</v>
      </c>
      <c r="AI130" s="103">
        <f t="shared" ref="AI130:BN130" si="116">+AI23*4/AI129</f>
        <v>2.3929423777777776</v>
      </c>
      <c r="AJ130" s="101">
        <f t="shared" si="116"/>
        <v>2.9734948185310737</v>
      </c>
      <c r="AK130" s="103">
        <f t="shared" si="116"/>
        <v>2.7218628627956991</v>
      </c>
      <c r="AL130" s="101">
        <f t="shared" si="116"/>
        <v>3.1099320247826086</v>
      </c>
      <c r="AM130" s="103">
        <f t="shared" si="116"/>
        <v>2.975609756097561</v>
      </c>
      <c r="AN130" s="101">
        <f t="shared" si="116"/>
        <v>2.8623824504504505</v>
      </c>
      <c r="AO130" s="101">
        <f t="shared" si="116"/>
        <v>2.3093377372881356</v>
      </c>
      <c r="AP130" s="101">
        <f t="shared" si="116"/>
        <v>2.7072667947540983</v>
      </c>
      <c r="AQ130" s="101">
        <f t="shared" si="116"/>
        <v>2.9218823529411764</v>
      </c>
      <c r="AR130" s="101">
        <f t="shared" si="116"/>
        <v>2.6584409448818898</v>
      </c>
      <c r="AS130" s="102">
        <f t="shared" si="116"/>
        <v>2.7274360376380953</v>
      </c>
      <c r="AT130" s="103">
        <f t="shared" si="116"/>
        <v>2.3471973993916349</v>
      </c>
      <c r="AU130" s="103">
        <f t="shared" si="116"/>
        <v>2.4547047619047619</v>
      </c>
      <c r="AV130" s="101">
        <f t="shared" si="116"/>
        <v>2.0756554307116106</v>
      </c>
      <c r="AW130" s="101">
        <f t="shared" si="116"/>
        <v>1.7805836142545455</v>
      </c>
      <c r="AX130" s="101">
        <f t="shared" si="116"/>
        <v>1.8636368328985506</v>
      </c>
      <c r="AY130" s="101">
        <f t="shared" si="116"/>
        <v>2.1575167286245356</v>
      </c>
      <c r="AZ130" s="101">
        <f t="shared" si="116"/>
        <v>1.9597042513863216</v>
      </c>
      <c r="BA130" s="101">
        <f t="shared" si="116"/>
        <v>2.1817497551789078</v>
      </c>
      <c r="BB130" s="101">
        <f t="shared" si="116"/>
        <v>2.3822177660377362</v>
      </c>
      <c r="BC130" s="101">
        <f t="shared" si="116"/>
        <v>2.4643956043956048</v>
      </c>
      <c r="BD130" s="101">
        <f t="shared" si="116"/>
        <v>2.2775843694493787</v>
      </c>
      <c r="BE130" s="101">
        <f t="shared" si="116"/>
        <v>2.2645744308231173</v>
      </c>
      <c r="BF130" s="101">
        <f t="shared" si="116"/>
        <v>2.5651877133105798</v>
      </c>
      <c r="BG130" s="101">
        <f t="shared" si="116"/>
        <v>2.842857142857143</v>
      </c>
      <c r="BH130" s="101">
        <f t="shared" si="116"/>
        <v>2.8037267080745338</v>
      </c>
      <c r="BI130" s="102">
        <f t="shared" si="116"/>
        <v>2.4238811084337351</v>
      </c>
      <c r="BJ130" s="101">
        <f t="shared" si="116"/>
        <v>2.9673590504451037</v>
      </c>
      <c r="BK130" s="101">
        <f t="shared" si="116"/>
        <v>2.6995180722891567</v>
      </c>
      <c r="BL130" s="101">
        <f t="shared" si="116"/>
        <v>2.6658610271903327</v>
      </c>
      <c r="BM130" s="101">
        <f t="shared" si="116"/>
        <v>2.5460960698689958</v>
      </c>
      <c r="BN130" s="101">
        <f t="shared" si="116"/>
        <v>2.7244444444444444</v>
      </c>
      <c r="BO130" s="101">
        <f t="shared" ref="BO130:CD130" si="117">+BO23*4/BO129</f>
        <v>2.6462462787550742</v>
      </c>
      <c r="BP130" s="102">
        <f t="shared" si="117"/>
        <v>2.4812749003984065</v>
      </c>
      <c r="BQ130" s="101">
        <f t="shared" si="117"/>
        <v>2.3129489795918365</v>
      </c>
      <c r="BR130" s="101">
        <f t="shared" si="117"/>
        <v>2.7249308176100633</v>
      </c>
      <c r="BS130" s="101">
        <f t="shared" si="117"/>
        <v>2.7614452926208655</v>
      </c>
      <c r="BT130" s="101">
        <f t="shared" si="117"/>
        <v>2.4307629443391523</v>
      </c>
      <c r="BU130" s="101">
        <f t="shared" si="117"/>
        <v>2.5931067961165053</v>
      </c>
      <c r="BV130" s="101">
        <f t="shared" si="117"/>
        <v>2.5480868020047751</v>
      </c>
      <c r="BW130" s="103">
        <f t="shared" si="117"/>
        <v>2.5430152914268502</v>
      </c>
      <c r="BX130" s="103">
        <f t="shared" si="117"/>
        <v>2.7181198442275343</v>
      </c>
      <c r="BY130" s="103">
        <f t="shared" si="117"/>
        <v>2.911899451289071</v>
      </c>
      <c r="BZ130" s="101">
        <f t="shared" si="117"/>
        <v>2.9609852330808217</v>
      </c>
      <c r="CA130" s="101">
        <f t="shared" si="117"/>
        <v>4.7934069092573877</v>
      </c>
      <c r="CB130" s="101">
        <f t="shared" si="117"/>
        <v>4.5119672292965181</v>
      </c>
      <c r="CC130" s="403">
        <f t="shared" si="117"/>
        <v>4.7260813908326815</v>
      </c>
      <c r="CD130" s="403">
        <f t="shared" si="117"/>
        <v>5.5814361131564274</v>
      </c>
      <c r="CE130" s="376">
        <f t="shared" ref="CE130" si="118">+CE23*4/CE129</f>
        <v>7.3880083401727594</v>
      </c>
    </row>
    <row r="131" spans="1:84" x14ac:dyDescent="0.2">
      <c r="A131" s="47" t="s">
        <v>92</v>
      </c>
      <c r="B131" s="48"/>
      <c r="C131" s="101">
        <f t="shared" ref="C131:AH131" si="119">-C29*4/C129</f>
        <v>1.5838105263157893</v>
      </c>
      <c r="D131" s="101">
        <f t="shared" si="119"/>
        <v>1.3096842105263158</v>
      </c>
      <c r="E131" s="101">
        <f t="shared" si="119"/>
        <v>1.0573846153846154</v>
      </c>
      <c r="F131" s="101">
        <f t="shared" si="119"/>
        <v>1.4557538461538462</v>
      </c>
      <c r="G131" s="101">
        <f t="shared" si="119"/>
        <v>1.6771076923076924</v>
      </c>
      <c r="H131" s="101">
        <f t="shared" si="119"/>
        <v>1.5416774193548388</v>
      </c>
      <c r="I131" s="101">
        <f t="shared" si="119"/>
        <v>1.4434754098360654</v>
      </c>
      <c r="J131" s="101">
        <f t="shared" si="119"/>
        <v>1.5491034482758619</v>
      </c>
      <c r="K131" s="101">
        <f t="shared" si="119"/>
        <v>1.7250566037735848</v>
      </c>
      <c r="L131" s="101">
        <f t="shared" si="119"/>
        <v>1.6677647058823533</v>
      </c>
      <c r="M131" s="101">
        <f t="shared" si="119"/>
        <v>1.4852857142857141</v>
      </c>
      <c r="N131" s="101">
        <f t="shared" si="119"/>
        <v>1.6886557377049183</v>
      </c>
      <c r="O131" s="101">
        <f t="shared" si="119"/>
        <v>1.6043478260869564</v>
      </c>
      <c r="P131" s="101">
        <f t="shared" si="119"/>
        <v>1.3797808219178083</v>
      </c>
      <c r="Q131" s="101">
        <f t="shared" si="119"/>
        <v>1.2762162162162163</v>
      </c>
      <c r="R131" s="101">
        <f t="shared" si="119"/>
        <v>1.6733506493506496</v>
      </c>
      <c r="S131" s="101">
        <f t="shared" si="119"/>
        <v>1.6212195121951218</v>
      </c>
      <c r="T131" s="101">
        <f t="shared" si="119"/>
        <v>1.506</v>
      </c>
      <c r="U131" s="101">
        <f t="shared" si="119"/>
        <v>1.2630927835051544</v>
      </c>
      <c r="V131" s="101">
        <f t="shared" si="119"/>
        <v>1.504116504854369</v>
      </c>
      <c r="W131" s="101">
        <f t="shared" si="119"/>
        <v>1.5977478991596639</v>
      </c>
      <c r="X131" s="101">
        <f t="shared" si="119"/>
        <v>2.0527479674796747</v>
      </c>
      <c r="Y131" s="101">
        <f t="shared" si="119"/>
        <v>1.1073379310344829</v>
      </c>
      <c r="Z131" s="101">
        <f t="shared" si="119"/>
        <v>1.4822929936305731</v>
      </c>
      <c r="AA131" s="101">
        <f t="shared" si="119"/>
        <v>1.4467500084472051</v>
      </c>
      <c r="AB131" s="101">
        <f t="shared" si="119"/>
        <v>1.5256266108235292</v>
      </c>
      <c r="AC131" s="103">
        <f t="shared" si="119"/>
        <v>1.1767495720645162</v>
      </c>
      <c r="AD131" s="103">
        <f t="shared" si="119"/>
        <v>1.3630073295049505</v>
      </c>
      <c r="AE131" s="103">
        <f t="shared" si="119"/>
        <v>1.3373657386138615</v>
      </c>
      <c r="AF131" s="103">
        <f t="shared" si="119"/>
        <v>1.4078131091999999</v>
      </c>
      <c r="AG131" s="103">
        <f t="shared" si="119"/>
        <v>1.1096953447236182</v>
      </c>
      <c r="AH131" s="103">
        <f t="shared" si="119"/>
        <v>1.5633097205000002</v>
      </c>
      <c r="AI131" s="103">
        <f t="shared" ref="AI131:BN131" si="120">-AI29*4/AI129</f>
        <v>1.2063562979073998</v>
      </c>
      <c r="AJ131" s="101">
        <f t="shared" si="120"/>
        <v>1.3452096879661017</v>
      </c>
      <c r="AK131" s="103">
        <f t="shared" si="120"/>
        <v>1.0736839718279569</v>
      </c>
      <c r="AL131" s="101">
        <f t="shared" si="120"/>
        <v>1.4161883180434782</v>
      </c>
      <c r="AM131" s="103">
        <f t="shared" si="120"/>
        <v>1.2373540325853658</v>
      </c>
      <c r="AN131" s="101">
        <f t="shared" si="120"/>
        <v>1.3753618830630632</v>
      </c>
      <c r="AO131" s="101">
        <f t="shared" si="120"/>
        <v>1.0609815920187626</v>
      </c>
      <c r="AP131" s="101">
        <f t="shared" si="120"/>
        <v>1.3148902060655738</v>
      </c>
      <c r="AQ131" s="101">
        <f t="shared" si="120"/>
        <v>1.1990106609330629</v>
      </c>
      <c r="AR131" s="101">
        <f t="shared" si="120"/>
        <v>1.486847991968504</v>
      </c>
      <c r="AS131" s="102">
        <f t="shared" si="120"/>
        <v>1.1609234777904762</v>
      </c>
      <c r="AT131" s="103">
        <f t="shared" si="120"/>
        <v>1.3996429536121673</v>
      </c>
      <c r="AU131" s="103">
        <f t="shared" si="120"/>
        <v>1.354223558095238</v>
      </c>
      <c r="AV131" s="101">
        <f t="shared" si="120"/>
        <v>1.3473618504012881</v>
      </c>
      <c r="AW131" s="101">
        <f t="shared" si="120"/>
        <v>1.1606703271065455</v>
      </c>
      <c r="AX131" s="101">
        <f t="shared" si="120"/>
        <v>1.3199784114039854</v>
      </c>
      <c r="AY131" s="101">
        <f t="shared" si="120"/>
        <v>1.3616356877323419</v>
      </c>
      <c r="AZ131" s="101">
        <f t="shared" si="120"/>
        <v>1.4286136783733827</v>
      </c>
      <c r="BA131" s="101">
        <f t="shared" si="120"/>
        <v>1.0871563088512242</v>
      </c>
      <c r="BB131" s="101">
        <f t="shared" si="120"/>
        <v>1.3977358490566039</v>
      </c>
      <c r="BC131" s="101">
        <f t="shared" si="120"/>
        <v>1.35003663003663</v>
      </c>
      <c r="BD131" s="101">
        <f t="shared" si="120"/>
        <v>1.3253285968028419</v>
      </c>
      <c r="BE131" s="101">
        <f t="shared" si="120"/>
        <v>1.2687915936952714</v>
      </c>
      <c r="BF131" s="101">
        <f t="shared" si="120"/>
        <v>1.4576109215017063</v>
      </c>
      <c r="BG131" s="101">
        <f t="shared" si="120"/>
        <v>1.3553246753246753</v>
      </c>
      <c r="BH131" s="101">
        <f t="shared" si="120"/>
        <v>1.2901863354037266</v>
      </c>
      <c r="BI131" s="102">
        <f t="shared" si="120"/>
        <v>1.1191566265060242</v>
      </c>
      <c r="BJ131" s="101">
        <f t="shared" si="120"/>
        <v>1.3044510385756678</v>
      </c>
      <c r="BK131" s="101">
        <f t="shared" si="120"/>
        <v>1.3180722891566266</v>
      </c>
      <c r="BL131" s="101">
        <f t="shared" si="120"/>
        <v>1.3206042296072509</v>
      </c>
      <c r="BM131" s="101">
        <f t="shared" si="120"/>
        <v>1.1218631732168847</v>
      </c>
      <c r="BN131" s="101">
        <f t="shared" si="120"/>
        <v>1.4244444444444444</v>
      </c>
      <c r="BO131" s="101">
        <f t="shared" ref="BO131:BU131" si="121">-BO29*4/BO129</f>
        <v>1.3434370771312585</v>
      </c>
      <c r="BP131" s="102">
        <f t="shared" si="121"/>
        <v>1.3865604249667993</v>
      </c>
      <c r="BQ131" s="101">
        <f t="shared" si="121"/>
        <v>1.2548469387755101</v>
      </c>
      <c r="BR131" s="101">
        <f t="shared" si="121"/>
        <v>1.5824905660377357</v>
      </c>
      <c r="BS131" s="101">
        <f t="shared" si="121"/>
        <v>1.5486615776081425</v>
      </c>
      <c r="BT131" s="101">
        <f t="shared" si="121"/>
        <v>1.526783042394015</v>
      </c>
      <c r="BU131" s="101">
        <f t="shared" si="121"/>
        <v>1.3063704885566856</v>
      </c>
      <c r="BV131" s="101">
        <f>-(BV29+35)*4/BV129</f>
        <v>1.4752655992931381</v>
      </c>
      <c r="BW131" s="103">
        <f t="shared" ref="BW131:CD131" si="122">-(BW29)*4/BW129</f>
        <v>1.5604886070487698</v>
      </c>
      <c r="BX131" s="103">
        <f t="shared" si="122"/>
        <v>1.5865676700806977</v>
      </c>
      <c r="BY131" s="103">
        <f t="shared" si="122"/>
        <v>1.3805543685674158</v>
      </c>
      <c r="BZ131" s="101">
        <f t="shared" si="122"/>
        <v>1.6853581375687692</v>
      </c>
      <c r="CA131" s="101">
        <f t="shared" si="122"/>
        <v>1.5830966223118574</v>
      </c>
      <c r="CB131" s="101">
        <f t="shared" si="122"/>
        <v>1.5913049691328001</v>
      </c>
      <c r="CC131" s="403">
        <f t="shared" si="122"/>
        <v>1.4553527953013548</v>
      </c>
      <c r="CD131" s="403">
        <f t="shared" si="122"/>
        <v>1.7480371393359875</v>
      </c>
      <c r="CE131" s="376">
        <f t="shared" ref="CE131" si="123">-(CE29)*4/CE129</f>
        <v>1.5632453965038342</v>
      </c>
    </row>
    <row r="132" spans="1:84" x14ac:dyDescent="0.2">
      <c r="A132" s="11" t="s">
        <v>93</v>
      </c>
      <c r="B132" s="12"/>
      <c r="C132" s="211">
        <f t="shared" ref="C132:AH132" si="124">+C35*4/C129</f>
        <v>-6.8021052631578982E-2</v>
      </c>
      <c r="D132" s="211">
        <f t="shared" si="124"/>
        <v>-0.15178947368421056</v>
      </c>
      <c r="E132" s="211">
        <f t="shared" si="124"/>
        <v>5.0307692307692393E-2</v>
      </c>
      <c r="F132" s="211">
        <f t="shared" si="124"/>
        <v>0.71040000000000025</v>
      </c>
      <c r="G132" s="211">
        <f t="shared" si="124"/>
        <v>0.15058461538461534</v>
      </c>
      <c r="H132" s="211">
        <f t="shared" si="124"/>
        <v>3.8967741935483913E-2</v>
      </c>
      <c r="I132" s="211">
        <f t="shared" si="124"/>
        <v>0.5434098360655738</v>
      </c>
      <c r="J132" s="211">
        <f t="shared" si="124"/>
        <v>1.0715862068965516</v>
      </c>
      <c r="K132" s="211">
        <f t="shared" si="124"/>
        <v>0.45818867924528339</v>
      </c>
      <c r="L132" s="211">
        <f t="shared" si="124"/>
        <v>0.95921568627450959</v>
      </c>
      <c r="M132" s="211">
        <f t="shared" si="124"/>
        <v>1.4225714285714288</v>
      </c>
      <c r="N132" s="211">
        <f t="shared" si="124"/>
        <v>1.3546229508196717</v>
      </c>
      <c r="O132" s="211">
        <f t="shared" si="124"/>
        <v>2.1875362318840579</v>
      </c>
      <c r="P132" s="211">
        <f t="shared" si="124"/>
        <v>1.3242191780821921</v>
      </c>
      <c r="Q132" s="211">
        <f t="shared" si="124"/>
        <v>0.90372972972972976</v>
      </c>
      <c r="R132" s="211">
        <f t="shared" si="124"/>
        <v>1.169714285714285</v>
      </c>
      <c r="S132" s="211">
        <f t="shared" si="124"/>
        <v>1.3446341463414633</v>
      </c>
      <c r="T132" s="211">
        <f t="shared" si="124"/>
        <v>1.3582608695652181</v>
      </c>
      <c r="U132" s="211">
        <f t="shared" si="124"/>
        <v>1.7838350515463917</v>
      </c>
      <c r="V132" s="211">
        <f t="shared" si="124"/>
        <v>1.7342524271844659</v>
      </c>
      <c r="W132" s="211">
        <f t="shared" si="124"/>
        <v>2.5518319327731094</v>
      </c>
      <c r="X132" s="211">
        <f t="shared" si="124"/>
        <v>2.0187967479674791</v>
      </c>
      <c r="Y132" s="211">
        <f t="shared" si="124"/>
        <v>1.2803862068965515</v>
      </c>
      <c r="Z132" s="211">
        <f t="shared" si="124"/>
        <v>1.5148535031847137</v>
      </c>
      <c r="AA132" s="211">
        <f t="shared" si="124"/>
        <v>1.9029394325465834</v>
      </c>
      <c r="AB132" s="211">
        <f t="shared" si="124"/>
        <v>1.7337851538823532</v>
      </c>
      <c r="AC132" s="212">
        <f t="shared" si="124"/>
        <v>1.6299161268602147</v>
      </c>
      <c r="AD132" s="212">
        <f t="shared" si="124"/>
        <v>1.590728314059406</v>
      </c>
      <c r="AE132" s="212">
        <f t="shared" si="124"/>
        <v>1.3626342415841588</v>
      </c>
      <c r="AF132" s="212">
        <f t="shared" si="124"/>
        <v>1.1822392908000003</v>
      </c>
      <c r="AG132" s="212">
        <f t="shared" si="124"/>
        <v>1.2328535437185928</v>
      </c>
      <c r="AH132" s="212">
        <f t="shared" si="124"/>
        <v>1.0646202965212768</v>
      </c>
      <c r="AI132" s="212">
        <f t="shared" ref="AI132:BN132" si="125">+AI35*4/AI129</f>
        <v>1.1865860798703776</v>
      </c>
      <c r="AJ132" s="211">
        <f t="shared" si="125"/>
        <v>1.6282851305649717</v>
      </c>
      <c r="AK132" s="212">
        <f t="shared" si="125"/>
        <v>1.6481788909677422</v>
      </c>
      <c r="AL132" s="211">
        <f t="shared" si="125"/>
        <v>1.6937437067391303</v>
      </c>
      <c r="AM132" s="212">
        <f t="shared" si="125"/>
        <v>1.7382557235121951</v>
      </c>
      <c r="AN132" s="211">
        <f t="shared" si="125"/>
        <v>1.4870205673873871</v>
      </c>
      <c r="AO132" s="211">
        <f t="shared" si="125"/>
        <v>1.2483561452693728</v>
      </c>
      <c r="AP132" s="211">
        <f t="shared" si="125"/>
        <v>1.3923765886885247</v>
      </c>
      <c r="AQ132" s="211">
        <f t="shared" si="125"/>
        <v>1.7228716920081137</v>
      </c>
      <c r="AR132" s="211">
        <f t="shared" si="125"/>
        <v>1.0771047639370079</v>
      </c>
      <c r="AS132" s="213">
        <f t="shared" si="125"/>
        <v>1.5665125598476191</v>
      </c>
      <c r="AT132" s="212">
        <f t="shared" si="125"/>
        <v>0.94755444577946779</v>
      </c>
      <c r="AU132" s="212">
        <f t="shared" si="125"/>
        <v>1.100481203809524</v>
      </c>
      <c r="AV132" s="211">
        <f t="shared" si="125"/>
        <v>0.72829358031032254</v>
      </c>
      <c r="AW132" s="211">
        <f t="shared" si="125"/>
        <v>0.60536783260254545</v>
      </c>
      <c r="AX132" s="211">
        <f t="shared" si="125"/>
        <v>0.54365842149456511</v>
      </c>
      <c r="AY132" s="211">
        <f t="shared" si="125"/>
        <v>0.79588104089219369</v>
      </c>
      <c r="AZ132" s="211">
        <f t="shared" si="125"/>
        <v>0.53109057301293905</v>
      </c>
      <c r="BA132" s="211">
        <f t="shared" si="125"/>
        <v>1.0945934463276836</v>
      </c>
      <c r="BB132" s="211">
        <f t="shared" si="125"/>
        <v>0.96938757735849068</v>
      </c>
      <c r="BC132" s="211">
        <f t="shared" si="125"/>
        <v>1.1128937728937733</v>
      </c>
      <c r="BD132" s="211">
        <f t="shared" si="125"/>
        <v>0.95083481349911236</v>
      </c>
      <c r="BE132" s="211">
        <f t="shared" si="125"/>
        <v>0.9971838879159366</v>
      </c>
      <c r="BF132" s="211">
        <f t="shared" si="125"/>
        <v>1.1144027303754265</v>
      </c>
      <c r="BG132" s="211">
        <f t="shared" si="125"/>
        <v>1.4875324675324677</v>
      </c>
      <c r="BH132" s="211">
        <f t="shared" si="125"/>
        <v>1.5135403726708072</v>
      </c>
      <c r="BI132" s="213">
        <f t="shared" si="125"/>
        <v>1.3047244819277111</v>
      </c>
      <c r="BJ132" s="211">
        <f t="shared" si="125"/>
        <v>1.6640949554896141</v>
      </c>
      <c r="BK132" s="211">
        <f t="shared" si="125"/>
        <v>1.3802409638554216</v>
      </c>
      <c r="BL132" s="211">
        <f t="shared" si="125"/>
        <v>1.3438066465256797</v>
      </c>
      <c r="BM132" s="211">
        <f t="shared" si="125"/>
        <v>1.4222532751091708</v>
      </c>
      <c r="BN132" s="211">
        <f t="shared" si="125"/>
        <v>1.3</v>
      </c>
      <c r="BO132" s="211">
        <f t="shared" ref="BO132:BU132" si="126">+BO35*4/BO129</f>
        <v>1.3051366711772667</v>
      </c>
      <c r="BP132" s="213">
        <f t="shared" si="126"/>
        <v>1.0954581673306774</v>
      </c>
      <c r="BQ132" s="211">
        <f t="shared" si="126"/>
        <v>1.0589183673469387</v>
      </c>
      <c r="BR132" s="211">
        <f t="shared" si="126"/>
        <v>1.1424402515723273</v>
      </c>
      <c r="BS132" s="211">
        <f t="shared" si="126"/>
        <v>1.2163562340966922</v>
      </c>
      <c r="BT132" s="211">
        <f t="shared" si="126"/>
        <v>0.89695760598503738</v>
      </c>
      <c r="BU132" s="211">
        <f t="shared" si="126"/>
        <v>1.2824838803753538</v>
      </c>
      <c r="BV132" s="211">
        <f>+(BV35+35)*4/BV129</f>
        <v>1.0629945382724963</v>
      </c>
      <c r="BW132" s="212">
        <f t="shared" ref="BW132:CB132" si="127">+(BW35)*4/BW129</f>
        <v>0.94977919744221362</v>
      </c>
      <c r="BX132" s="212">
        <f t="shared" si="127"/>
        <v>1.1234874143382241</v>
      </c>
      <c r="BY132" s="212">
        <f t="shared" si="127"/>
        <v>1.5118554172332834</v>
      </c>
      <c r="BZ132" s="211">
        <f t="shared" si="127"/>
        <v>1.2618652328093498</v>
      </c>
      <c r="CA132" s="211">
        <f t="shared" si="127"/>
        <v>3.1937570376534947</v>
      </c>
      <c r="CB132" s="211">
        <f t="shared" si="127"/>
        <v>2.8600382706358207</v>
      </c>
      <c r="CC132" s="417">
        <f>+(CC35)*4/CC129</f>
        <v>3.2563490269892323</v>
      </c>
      <c r="CD132" s="417">
        <f>+(CD35)*4/CD129</f>
        <v>3.8411794780892148</v>
      </c>
      <c r="CE132" s="381">
        <f>+(CE35)*4/CE129</f>
        <v>5.8358439379546398</v>
      </c>
    </row>
    <row r="133" spans="1:84" x14ac:dyDescent="0.2">
      <c r="A133" s="11"/>
      <c r="B133" s="12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2"/>
      <c r="AD133" s="212"/>
      <c r="AE133" s="212"/>
      <c r="AF133" s="212"/>
      <c r="AG133" s="212"/>
      <c r="AH133" s="212"/>
      <c r="AI133" s="212"/>
      <c r="AJ133" s="211"/>
      <c r="AK133" s="213"/>
      <c r="AL133" s="211"/>
      <c r="AM133" s="212"/>
      <c r="AN133" s="211"/>
      <c r="AO133" s="211"/>
      <c r="AP133" s="211"/>
      <c r="AQ133" s="211"/>
      <c r="AR133" s="211"/>
      <c r="AS133" s="213"/>
      <c r="AT133" s="212"/>
      <c r="AU133" s="212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2"/>
      <c r="BI133" s="420"/>
      <c r="BJ133" s="211"/>
      <c r="BK133" s="211"/>
      <c r="BL133" s="211"/>
      <c r="BM133" s="211"/>
      <c r="BN133" s="211"/>
      <c r="BO133" s="211"/>
      <c r="BP133" s="213"/>
      <c r="BQ133" s="211"/>
      <c r="BR133" s="213"/>
      <c r="BS133" s="211"/>
      <c r="BT133" s="211"/>
      <c r="BU133" s="211"/>
      <c r="BV133" s="211"/>
      <c r="BW133" s="212"/>
      <c r="BX133" s="212"/>
      <c r="BY133" s="212"/>
      <c r="BZ133" s="211"/>
      <c r="CA133" s="211"/>
      <c r="CB133" s="211"/>
      <c r="CC133" s="417"/>
      <c r="CD133" s="417"/>
      <c r="CE133" s="381"/>
    </row>
    <row r="134" spans="1:84" x14ac:dyDescent="0.2">
      <c r="A134" s="304" t="s">
        <v>163</v>
      </c>
      <c r="B134" s="7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3"/>
      <c r="AD134" s="33"/>
      <c r="AE134" s="33"/>
      <c r="AF134" s="33"/>
      <c r="AG134" s="33"/>
      <c r="AH134" s="33"/>
      <c r="AI134" s="33"/>
      <c r="AJ134" s="32"/>
      <c r="AK134" s="7"/>
      <c r="AL134" s="32"/>
      <c r="AM134" s="33"/>
      <c r="AN134" s="32"/>
      <c r="AO134" s="32"/>
      <c r="AP134" s="32"/>
      <c r="AQ134" s="32"/>
      <c r="AR134" s="32"/>
      <c r="AS134" s="7"/>
      <c r="AT134" s="33"/>
      <c r="AU134" s="33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3"/>
      <c r="BJ134" s="32"/>
      <c r="BK134" s="32"/>
      <c r="BL134" s="32"/>
      <c r="BM134" s="32"/>
      <c r="BN134" s="32"/>
      <c r="BO134" s="32"/>
      <c r="BP134" s="7"/>
      <c r="BQ134" s="32"/>
      <c r="BR134" s="7"/>
      <c r="BS134" s="32"/>
      <c r="BT134" s="32"/>
      <c r="BU134" s="32"/>
      <c r="BV134" s="32"/>
      <c r="BW134" s="33"/>
      <c r="BX134" s="33"/>
      <c r="BY134" s="33"/>
      <c r="BZ134" s="32"/>
      <c r="CA134" s="32"/>
      <c r="CB134" s="32"/>
      <c r="CC134" s="392"/>
      <c r="CD134" s="392"/>
      <c r="CE134" s="361"/>
    </row>
    <row r="135" spans="1:84" ht="15" x14ac:dyDescent="0.2">
      <c r="A135" s="39" t="s">
        <v>206</v>
      </c>
      <c r="B135" s="225">
        <f>32*0.479</f>
        <v>15.327999999999999</v>
      </c>
      <c r="C135" s="109">
        <v>2.8260999999999998</v>
      </c>
      <c r="D135" s="109">
        <v>2.1719999999999997</v>
      </c>
      <c r="E135" s="109">
        <v>2.0634000000000001</v>
      </c>
      <c r="F135" s="109">
        <v>3</v>
      </c>
      <c r="G135" s="109">
        <v>2.5</v>
      </c>
      <c r="H135" s="109">
        <v>2.1</v>
      </c>
      <c r="I135" s="109">
        <v>1.94</v>
      </c>
      <c r="J135" s="109">
        <v>2.7</v>
      </c>
      <c r="K135" s="109">
        <v>2.56</v>
      </c>
      <c r="L135" s="109">
        <v>2.68</v>
      </c>
      <c r="M135" s="109">
        <v>3.5799999999999996</v>
      </c>
      <c r="N135" s="109">
        <v>5.66</v>
      </c>
      <c r="O135" s="109">
        <v>7.3</v>
      </c>
      <c r="P135" s="109">
        <v>6.5200000000000005</v>
      </c>
      <c r="Q135" s="109">
        <v>6.08</v>
      </c>
      <c r="R135" s="109">
        <v>8.5</v>
      </c>
      <c r="S135" s="109">
        <v>11.4</v>
      </c>
      <c r="T135" s="109">
        <v>11.3</v>
      </c>
      <c r="U135" s="109">
        <v>13.1</v>
      </c>
      <c r="V135" s="109">
        <v>19.8</v>
      </c>
      <c r="W135" s="109">
        <v>26</v>
      </c>
      <c r="X135" s="109">
        <v>27</v>
      </c>
      <c r="Y135" s="109">
        <v>25.4</v>
      </c>
      <c r="Z135" s="109">
        <v>24.65</v>
      </c>
      <c r="AA135" s="109">
        <v>24.2</v>
      </c>
      <c r="AB135" s="109">
        <v>25.45</v>
      </c>
      <c r="AC135" s="226">
        <v>23.7</v>
      </c>
      <c r="AD135" s="226">
        <v>27.1</v>
      </c>
      <c r="AE135" s="226">
        <v>26.05</v>
      </c>
      <c r="AF135" s="226">
        <v>18.399999999999999</v>
      </c>
      <c r="AG135" s="226">
        <v>16</v>
      </c>
      <c r="AH135" s="226">
        <v>14.2</v>
      </c>
      <c r="AI135" s="226">
        <v>17.149999999999999</v>
      </c>
      <c r="AJ135" s="109">
        <v>24.05</v>
      </c>
      <c r="AK135" s="110">
        <v>28.8</v>
      </c>
      <c r="AL135" s="109">
        <v>33.700000000000003</v>
      </c>
      <c r="AM135" s="226">
        <v>37.4</v>
      </c>
      <c r="AN135" s="109">
        <v>43.4</v>
      </c>
      <c r="AO135" s="109">
        <v>46.2</v>
      </c>
      <c r="AP135" s="109">
        <v>46.8</v>
      </c>
      <c r="AQ135" s="109">
        <v>48.8</v>
      </c>
      <c r="AR135" s="109">
        <v>38.700000000000003</v>
      </c>
      <c r="AS135" s="110">
        <v>32.799999999999997</v>
      </c>
      <c r="AT135" s="226">
        <v>32.9</v>
      </c>
      <c r="AU135" s="226">
        <v>37.200000000000003</v>
      </c>
      <c r="AV135" s="109">
        <v>28.4</v>
      </c>
      <c r="AW135" s="109">
        <v>28.95</v>
      </c>
      <c r="AX135" s="109">
        <v>26.3</v>
      </c>
      <c r="AY135" s="109">
        <v>35</v>
      </c>
      <c r="AZ135" s="109">
        <v>27.4</v>
      </c>
      <c r="BA135" s="109">
        <v>38.6</v>
      </c>
      <c r="BB135" s="109">
        <v>41.8</v>
      </c>
      <c r="BC135" s="109">
        <v>49.7</v>
      </c>
      <c r="BD135" s="109">
        <v>56</v>
      </c>
      <c r="BE135" s="109">
        <v>48.7</v>
      </c>
      <c r="BF135" s="109">
        <v>51.6</v>
      </c>
      <c r="BG135" s="109">
        <v>60.1</v>
      </c>
      <c r="BH135" s="109">
        <v>60.3</v>
      </c>
      <c r="BI135" s="226">
        <v>68.7</v>
      </c>
      <c r="BJ135" s="109">
        <v>73.5</v>
      </c>
      <c r="BK135" s="109">
        <v>72.400000000000006</v>
      </c>
      <c r="BL135" s="109">
        <v>64.599999999999994</v>
      </c>
      <c r="BM135" s="109">
        <v>67.8</v>
      </c>
      <c r="BN135" s="109">
        <v>73.8</v>
      </c>
      <c r="BO135" s="109">
        <v>67.38</v>
      </c>
      <c r="BP135" s="110">
        <v>73.58</v>
      </c>
      <c r="BQ135" s="109">
        <v>68.239999999999995</v>
      </c>
      <c r="BR135" s="110">
        <v>68.820000000000007</v>
      </c>
      <c r="BS135" s="109">
        <v>88.039999999999992</v>
      </c>
      <c r="BT135" s="109">
        <v>92</v>
      </c>
      <c r="BU135" s="109">
        <v>80.960000000000008</v>
      </c>
      <c r="BV135" s="109">
        <v>84.72</v>
      </c>
      <c r="BW135" s="226">
        <v>79.8</v>
      </c>
      <c r="BX135" s="226">
        <v>70.900000000000006</v>
      </c>
      <c r="BY135" s="226">
        <v>80.2</v>
      </c>
      <c r="BZ135" s="109">
        <v>97.8</v>
      </c>
      <c r="CA135" s="109">
        <v>82.8</v>
      </c>
      <c r="CB135" s="109">
        <v>132.30000000000001</v>
      </c>
      <c r="CC135" s="408">
        <v>175.8</v>
      </c>
      <c r="CD135" s="408">
        <v>233</v>
      </c>
      <c r="CE135" s="457">
        <v>271.39999999999998</v>
      </c>
    </row>
    <row r="136" spans="1:84" x14ac:dyDescent="0.2">
      <c r="A136" s="47" t="s">
        <v>94</v>
      </c>
      <c r="B136" s="48"/>
      <c r="C136" s="49">
        <f>+C135*C142/1000000</f>
        <v>296.59313301550003</v>
      </c>
      <c r="D136" s="49">
        <f t="shared" ref="D136:BO136" si="128">+D135*D142/1000000</f>
        <v>227.94674105999997</v>
      </c>
      <c r="E136" s="49">
        <f t="shared" si="128"/>
        <v>262.21148652600004</v>
      </c>
      <c r="F136" s="49">
        <f t="shared" si="128"/>
        <v>399.34311000000002</v>
      </c>
      <c r="G136" s="49">
        <f t="shared" si="128"/>
        <v>332.78592500000002</v>
      </c>
      <c r="H136" s="49">
        <f t="shared" si="128"/>
        <v>279.54017700000003</v>
      </c>
      <c r="I136" s="49">
        <f t="shared" si="128"/>
        <v>258.2418778</v>
      </c>
      <c r="J136" s="49">
        <f t="shared" si="128"/>
        <v>359.40879899999999</v>
      </c>
      <c r="K136" s="49">
        <f t="shared" si="128"/>
        <v>340.77278719999998</v>
      </c>
      <c r="L136" s="49">
        <f t="shared" si="128"/>
        <v>356.74651160000002</v>
      </c>
      <c r="M136" s="49">
        <f t="shared" si="128"/>
        <v>476.54944459999996</v>
      </c>
      <c r="N136" s="49">
        <f t="shared" si="128"/>
        <v>753.42733420000002</v>
      </c>
      <c r="O136" s="49">
        <f t="shared" si="128"/>
        <v>971.73490100000004</v>
      </c>
      <c r="P136" s="49">
        <f t="shared" si="128"/>
        <v>867.90569240000013</v>
      </c>
      <c r="Q136" s="49">
        <f t="shared" si="128"/>
        <v>809.33536960000004</v>
      </c>
      <c r="R136" s="49">
        <f t="shared" si="128"/>
        <v>1131.472145</v>
      </c>
      <c r="S136" s="49">
        <f t="shared" si="128"/>
        <v>1565.543418</v>
      </c>
      <c r="T136" s="49">
        <f t="shared" si="128"/>
        <v>1551.810581</v>
      </c>
      <c r="U136" s="49">
        <f t="shared" si="128"/>
        <v>1799.001647</v>
      </c>
      <c r="V136" s="49">
        <f t="shared" si="128"/>
        <v>2719.1017259999999</v>
      </c>
      <c r="W136" s="49">
        <f t="shared" si="128"/>
        <v>3570.5376200000001</v>
      </c>
      <c r="X136" s="49">
        <f t="shared" si="128"/>
        <v>3707.8659899999998</v>
      </c>
      <c r="Y136" s="49">
        <f t="shared" si="128"/>
        <v>3488.140598</v>
      </c>
      <c r="Z136" s="49">
        <f t="shared" si="128"/>
        <v>3385.1443205</v>
      </c>
      <c r="AA136" s="49">
        <f t="shared" si="128"/>
        <v>3323.3465540000002</v>
      </c>
      <c r="AB136" s="49">
        <f t="shared" si="128"/>
        <v>3495.0070165000002</v>
      </c>
      <c r="AC136" s="51">
        <f t="shared" si="128"/>
        <v>3254.6823690000001</v>
      </c>
      <c r="AD136" s="50">
        <f t="shared" si="128"/>
        <v>3680.18</v>
      </c>
      <c r="AE136" s="50">
        <f t="shared" si="128"/>
        <v>3537.59</v>
      </c>
      <c r="AF136" s="50">
        <f t="shared" si="128"/>
        <v>2517.10574</v>
      </c>
      <c r="AG136" s="50">
        <f t="shared" si="128"/>
        <v>2199.6887999999999</v>
      </c>
      <c r="AH136" s="50">
        <f t="shared" si="128"/>
        <v>1958.0103099999999</v>
      </c>
      <c r="AI136" s="50">
        <f t="shared" si="128"/>
        <v>2364.7800575000001</v>
      </c>
      <c r="AJ136" s="49">
        <f t="shared" si="128"/>
        <v>3316.2076025000001</v>
      </c>
      <c r="AK136" s="50">
        <f t="shared" si="128"/>
        <v>3971.1758399999999</v>
      </c>
      <c r="AL136" s="49">
        <f t="shared" si="128"/>
        <v>4646.8272850000003</v>
      </c>
      <c r="AM136" s="50">
        <f t="shared" si="128"/>
        <v>5157.01307</v>
      </c>
      <c r="AN136" s="49">
        <f t="shared" si="128"/>
        <v>6020.8212400000002</v>
      </c>
      <c r="AO136" s="49">
        <f t="shared" si="128"/>
        <v>6437.73207</v>
      </c>
      <c r="AP136" s="49">
        <f t="shared" si="128"/>
        <v>6542.0479800000003</v>
      </c>
      <c r="AQ136" s="49">
        <f t="shared" si="128"/>
        <v>6821.6226800000004</v>
      </c>
      <c r="AR136" s="49">
        <f t="shared" si="128"/>
        <v>5522.1171254999999</v>
      </c>
      <c r="AS136" s="51">
        <f t="shared" si="128"/>
        <v>4654.2842479999999</v>
      </c>
      <c r="AT136" s="50">
        <f t="shared" si="128"/>
        <v>4649.1893104999999</v>
      </c>
      <c r="AU136" s="50">
        <f t="shared" si="128"/>
        <v>5256.8341140000002</v>
      </c>
      <c r="AV136" s="49">
        <f t="shared" si="128"/>
        <v>4100.0720739999997</v>
      </c>
      <c r="AW136" s="49">
        <f t="shared" si="128"/>
        <v>4179.4748782500001</v>
      </c>
      <c r="AX136" s="49">
        <f t="shared" si="128"/>
        <v>3796.8977304999999</v>
      </c>
      <c r="AY136" s="49">
        <f t="shared" si="128"/>
        <v>5052.9057249999996</v>
      </c>
      <c r="AZ136" s="49">
        <f t="shared" si="128"/>
        <v>3955.7033390000001</v>
      </c>
      <c r="BA136" s="49">
        <f t="shared" si="128"/>
        <v>5572.6331710000004</v>
      </c>
      <c r="BB136" s="49">
        <f t="shared" si="128"/>
        <v>6034.6131230000001</v>
      </c>
      <c r="BC136" s="49">
        <f t="shared" si="128"/>
        <v>7175.1261295000004</v>
      </c>
      <c r="BD136" s="49">
        <f t="shared" si="128"/>
        <v>8084.6491599999999</v>
      </c>
      <c r="BE136" s="49">
        <f t="shared" si="128"/>
        <v>7030.7573945000004</v>
      </c>
      <c r="BF136" s="49">
        <f t="shared" si="128"/>
        <v>7449.4267259999997</v>
      </c>
      <c r="BG136" s="49">
        <f t="shared" si="128"/>
        <v>8676.5609734999998</v>
      </c>
      <c r="BH136" s="49">
        <f t="shared" si="128"/>
        <v>8847.2425320000002</v>
      </c>
      <c r="BI136" s="51">
        <f t="shared" si="128"/>
        <v>10079.694228</v>
      </c>
      <c r="BJ136" s="49">
        <f t="shared" si="128"/>
        <v>10783.95234</v>
      </c>
      <c r="BK136" s="49">
        <f t="shared" si="128"/>
        <v>10622.559856</v>
      </c>
      <c r="BL136" s="49">
        <f t="shared" si="128"/>
        <v>9637.9718059999996</v>
      </c>
      <c r="BM136" s="49">
        <f t="shared" si="128"/>
        <v>10115.394558</v>
      </c>
      <c r="BN136" s="49">
        <f t="shared" si="128"/>
        <v>11010.562217999999</v>
      </c>
      <c r="BO136" s="49">
        <f t="shared" si="128"/>
        <v>10052.732821799998</v>
      </c>
      <c r="BP136" s="51">
        <f t="shared" ref="BP136:BV136" si="129">+BP135*BP142/1000000</f>
        <v>10977.739403799998</v>
      </c>
      <c r="BQ136" s="49">
        <f t="shared" si="129"/>
        <v>10234.7109464</v>
      </c>
      <c r="BR136" s="49">
        <f t="shared" si="129"/>
        <v>10321.699990200001</v>
      </c>
      <c r="BS136" s="49">
        <f t="shared" si="129"/>
        <v>13204.3369244</v>
      </c>
      <c r="BT136" s="49">
        <f t="shared" si="129"/>
        <v>13798.262119999999</v>
      </c>
      <c r="BU136" s="49">
        <f t="shared" si="129"/>
        <v>12254.508780800001</v>
      </c>
      <c r="BV136" s="49">
        <f t="shared" si="129"/>
        <v>12823.6411056</v>
      </c>
      <c r="BW136" s="50">
        <f t="shared" ref="BW136:CB136" si="130">+BW135*BW142/1000000</f>
        <v>12078.925404</v>
      </c>
      <c r="BX136" s="50">
        <f t="shared" si="130"/>
        <v>10731.777082000001</v>
      </c>
      <c r="BY136" s="50">
        <f t="shared" si="130"/>
        <v>12333.663024399999</v>
      </c>
      <c r="BZ136" s="49">
        <f t="shared" si="130"/>
        <v>15040.302291600001</v>
      </c>
      <c r="CA136" s="49">
        <f t="shared" si="130"/>
        <v>12733.5074616</v>
      </c>
      <c r="CB136" s="49">
        <f t="shared" si="130"/>
        <v>20345.930400600002</v>
      </c>
      <c r="CC136" s="394">
        <f>+CC135*CC142/1000000</f>
        <v>27240.914958000001</v>
      </c>
      <c r="CD136" s="394">
        <f>+CD135*CD142/1000000</f>
        <v>36104.284330000002</v>
      </c>
      <c r="CE136" s="363">
        <f>+CE135*CE142/1000000</f>
        <v>42054.518314000001</v>
      </c>
    </row>
    <row r="137" spans="1:84" ht="15" x14ac:dyDescent="0.2">
      <c r="A137" s="47" t="s">
        <v>217</v>
      </c>
      <c r="B137" s="48"/>
      <c r="C137" s="228">
        <f t="shared" ref="C137:AH137" si="131">+C39*1000000/C143</f>
        <v>-6.6499310538552731E-3</v>
      </c>
      <c r="D137" s="228">
        <f t="shared" si="131"/>
        <v>-1.4839369513555089E-2</v>
      </c>
      <c r="E137" s="228">
        <f t="shared" si="131"/>
        <v>6.4326963705292235E-3</v>
      </c>
      <c r="F137" s="228">
        <f t="shared" si="131"/>
        <v>7.2600174650671381E-2</v>
      </c>
      <c r="G137" s="228">
        <f t="shared" si="131"/>
        <v>1.3235535727660352E-2</v>
      </c>
      <c r="H137" s="228">
        <f t="shared" si="131"/>
        <v>3.2669650917477992E-3</v>
      </c>
      <c r="I137" s="228">
        <f t="shared" si="131"/>
        <v>4.4823410124692022E-2</v>
      </c>
      <c r="J137" s="228">
        <f t="shared" si="131"/>
        <v>8.4043217873472242E-2</v>
      </c>
      <c r="K137" s="228">
        <f t="shared" si="131"/>
        <v>3.2837326278147151E-2</v>
      </c>
      <c r="L137" s="228">
        <f t="shared" si="131"/>
        <v>6.6150634225290619E-2</v>
      </c>
      <c r="M137" s="228">
        <f t="shared" si="131"/>
        <v>0.10772330590604157</v>
      </c>
      <c r="N137" s="228">
        <f t="shared" si="131"/>
        <v>0.11173669679689725</v>
      </c>
      <c r="O137" s="228">
        <f t="shared" si="131"/>
        <v>0.20410418499520372</v>
      </c>
      <c r="P137" s="228">
        <f t="shared" si="131"/>
        <v>0.13071646584812746</v>
      </c>
      <c r="Q137" s="228">
        <f t="shared" si="131"/>
        <v>9.0431108226707621E-2</v>
      </c>
      <c r="R137" s="228">
        <f t="shared" si="131"/>
        <v>0.12179180955444548</v>
      </c>
      <c r="S137" s="228">
        <f t="shared" si="131"/>
        <v>0.14642655964807927</v>
      </c>
      <c r="T137" s="228">
        <f t="shared" si="131"/>
        <v>0.16084076436645986</v>
      </c>
      <c r="U137" s="228">
        <f t="shared" si="131"/>
        <v>0.22996704905184556</v>
      </c>
      <c r="V137" s="228">
        <f t="shared" si="131"/>
        <v>0.23659350212923957</v>
      </c>
      <c r="W137" s="228">
        <f t="shared" si="131"/>
        <v>0.40135188380958725</v>
      </c>
      <c r="X137" s="228">
        <f t="shared" si="131"/>
        <v>0.32970609059147787</v>
      </c>
      <c r="Y137" s="228">
        <f t="shared" si="131"/>
        <v>0.24549916379259423</v>
      </c>
      <c r="Z137" s="228">
        <f t="shared" si="131"/>
        <v>0.3929122584066207</v>
      </c>
      <c r="AA137" s="228">
        <f t="shared" si="131"/>
        <v>0.40846120987236639</v>
      </c>
      <c r="AB137" s="228">
        <f t="shared" si="131"/>
        <v>0.39821246724183806</v>
      </c>
      <c r="AC137" s="228">
        <f t="shared" si="131"/>
        <v>0.41354237219155798</v>
      </c>
      <c r="AD137" s="228">
        <f t="shared" si="131"/>
        <v>0.47180302317577705</v>
      </c>
      <c r="AE137" s="228">
        <f t="shared" si="131"/>
        <v>0.3889030132547866</v>
      </c>
      <c r="AF137" s="228">
        <f t="shared" si="131"/>
        <v>0.33097646950390275</v>
      </c>
      <c r="AG137" s="228">
        <f t="shared" si="131"/>
        <v>0.35244643029184336</v>
      </c>
      <c r="AH137" s="228">
        <f t="shared" si="131"/>
        <v>0.28352654541222205</v>
      </c>
      <c r="AI137" s="228">
        <f t="shared" ref="AI137:BN137" si="132">+AI39*1000000/AI143</f>
        <v>0.32342449976025472</v>
      </c>
      <c r="AJ137" s="228">
        <f t="shared" si="132"/>
        <v>0.43550994467976017</v>
      </c>
      <c r="AK137" s="228">
        <f t="shared" si="132"/>
        <v>0.43252710028171409</v>
      </c>
      <c r="AL137" s="228">
        <f t="shared" si="132"/>
        <v>0.46350797266333088</v>
      </c>
      <c r="AM137" s="228">
        <f t="shared" si="132"/>
        <v>0.53003582130576232</v>
      </c>
      <c r="AN137" s="228">
        <f t="shared" si="132"/>
        <v>0.48825435121132438</v>
      </c>
      <c r="AO137" s="228">
        <f t="shared" si="132"/>
        <v>0.43631603948944564</v>
      </c>
      <c r="AP137" s="228">
        <f t="shared" si="132"/>
        <v>0.49339634802096161</v>
      </c>
      <c r="AQ137" s="228">
        <f t="shared" si="132"/>
        <v>0.63791157082525718</v>
      </c>
      <c r="AR137" s="228">
        <f t="shared" si="132"/>
        <v>0.4061705440449479</v>
      </c>
      <c r="AS137" s="228">
        <f t="shared" si="132"/>
        <v>0.616479464612671</v>
      </c>
      <c r="AT137" s="228">
        <f t="shared" si="132"/>
        <v>0.39026068370082045</v>
      </c>
      <c r="AU137" s="228">
        <f t="shared" si="132"/>
        <v>0.42614046595726385</v>
      </c>
      <c r="AV137" s="228">
        <f t="shared" si="132"/>
        <v>0.26958087907585043</v>
      </c>
      <c r="AW137" s="228">
        <f t="shared" si="132"/>
        <v>0.21901583117303758</v>
      </c>
      <c r="AX137" s="228">
        <f t="shared" si="132"/>
        <v>0.20442397783096869</v>
      </c>
      <c r="AY137" s="228">
        <f t="shared" si="132"/>
        <v>0.30839779817977919</v>
      </c>
      <c r="AZ137" s="228">
        <f t="shared" si="132"/>
        <v>0.22799257747877341</v>
      </c>
      <c r="BA137" s="228">
        <f t="shared" si="132"/>
        <v>0.42705673080809353</v>
      </c>
      <c r="BB137" s="228">
        <f t="shared" si="132"/>
        <v>0.37557942860689336</v>
      </c>
      <c r="BC137" s="228">
        <f t="shared" si="132"/>
        <v>0.45200229814301568</v>
      </c>
      <c r="BD137" s="228">
        <f t="shared" si="132"/>
        <v>0.38432836583350294</v>
      </c>
      <c r="BE137" s="228">
        <f t="shared" si="132"/>
        <v>0.41957838031897959</v>
      </c>
      <c r="BF137" s="228">
        <f t="shared" si="132"/>
        <v>0.47260925296602463</v>
      </c>
      <c r="BG137" s="228">
        <f t="shared" si="132"/>
        <v>0.68255775739809588</v>
      </c>
      <c r="BH137" s="228">
        <f t="shared" si="132"/>
        <v>0.72010312657165254</v>
      </c>
      <c r="BI137" s="228">
        <f t="shared" si="132"/>
        <v>0.63789429748165971</v>
      </c>
      <c r="BJ137" s="228">
        <f t="shared" si="132"/>
        <v>0.80561372362296613</v>
      </c>
      <c r="BK137" s="228">
        <f t="shared" si="132"/>
        <v>0.67175371066226353</v>
      </c>
      <c r="BL137" s="228">
        <f t="shared" si="132"/>
        <v>0.63617031909609156</v>
      </c>
      <c r="BM137" s="228">
        <f t="shared" si="132"/>
        <v>0.70469033700346173</v>
      </c>
      <c r="BN137" s="228">
        <f t="shared" si="132"/>
        <v>0.67696815588713288</v>
      </c>
      <c r="BO137" s="228">
        <f t="shared" ref="BO137:CB137" si="133">+BO39*1000000/BO143</f>
        <v>0.69145929601612288</v>
      </c>
      <c r="BP137" s="228">
        <f t="shared" si="133"/>
        <v>0.59325199482742719</v>
      </c>
      <c r="BQ137" s="228">
        <f t="shared" si="133"/>
        <v>0.59381757791042766</v>
      </c>
      <c r="BR137" s="228">
        <f t="shared" si="133"/>
        <v>0.65358897530495697</v>
      </c>
      <c r="BS137" s="228">
        <f t="shared" si="133"/>
        <v>0.69093367824788077</v>
      </c>
      <c r="BT137" s="228">
        <f t="shared" si="133"/>
        <v>0.52823985633924164</v>
      </c>
      <c r="BU137" s="228">
        <f t="shared" si="133"/>
        <v>0.70708933850852751</v>
      </c>
      <c r="BV137" s="228">
        <f t="shared" si="133"/>
        <v>0.39563424151375043</v>
      </c>
      <c r="BW137" s="229">
        <f t="shared" si="133"/>
        <v>0.57482585820572896</v>
      </c>
      <c r="BX137" s="229">
        <f t="shared" si="133"/>
        <v>0.66755656274221686</v>
      </c>
      <c r="BY137" s="229">
        <f t="shared" si="133"/>
        <v>0.9067801928073993</v>
      </c>
      <c r="BZ137" s="228">
        <f t="shared" si="133"/>
        <v>0.78724790740387063</v>
      </c>
      <c r="CA137" s="228">
        <f t="shared" si="133"/>
        <v>1.9815645197941916</v>
      </c>
      <c r="CB137" s="228">
        <f t="shared" si="133"/>
        <v>1.8253979981332353</v>
      </c>
      <c r="CC137" s="418">
        <f>+CC39*1000000/CC143</f>
        <v>2.1492578106403371</v>
      </c>
      <c r="CD137" s="418">
        <f>+CD39*1000000/CD143</f>
        <v>2.6975027674874998</v>
      </c>
      <c r="CE137" s="382">
        <f>+CE39*1000000/CE143</f>
        <v>4.0766035596957169</v>
      </c>
      <c r="CF137" s="461"/>
    </row>
    <row r="138" spans="1:84" ht="15" x14ac:dyDescent="0.2">
      <c r="A138" s="47" t="s">
        <v>208</v>
      </c>
      <c r="B138" s="12"/>
      <c r="C138" s="228">
        <f t="shared" ref="C138:AH138" si="134">+C39*1000000/C144</f>
        <v>-6.3435921534978155E-3</v>
      </c>
      <c r="D138" s="228">
        <f t="shared" si="134"/>
        <v>-1.4098679986914886E-2</v>
      </c>
      <c r="E138" s="228">
        <f t="shared" si="134"/>
        <v>5.5529877852665563E-3</v>
      </c>
      <c r="F138" s="228">
        <f t="shared" si="134"/>
        <v>7.2442379203216473E-2</v>
      </c>
      <c r="G138" s="228">
        <f t="shared" si="134"/>
        <v>1.3232362689189456E-2</v>
      </c>
      <c r="H138" s="228">
        <f t="shared" si="134"/>
        <v>3.2667692539982991E-3</v>
      </c>
      <c r="I138" s="228">
        <f t="shared" si="134"/>
        <v>4.4735072095889228E-2</v>
      </c>
      <c r="J138" s="228">
        <f t="shared" si="134"/>
        <v>8.3789453249281429E-2</v>
      </c>
      <c r="K138" s="228">
        <f t="shared" si="134"/>
        <v>3.273388508872057E-2</v>
      </c>
      <c r="L138" s="228">
        <f t="shared" si="134"/>
        <v>6.5959427042271437E-2</v>
      </c>
      <c r="M138" s="228">
        <f t="shared" si="134"/>
        <v>0.10716860521407666</v>
      </c>
      <c r="N138" s="228">
        <f t="shared" si="134"/>
        <v>0.11042647997554153</v>
      </c>
      <c r="O138" s="228">
        <f t="shared" si="134"/>
        <v>0.20063996951541471</v>
      </c>
      <c r="P138" s="228">
        <f t="shared" si="134"/>
        <v>0.12833598428304158</v>
      </c>
      <c r="Q138" s="228">
        <f t="shared" si="134"/>
        <v>8.8855888754312232E-2</v>
      </c>
      <c r="R138" s="228">
        <f t="shared" si="134"/>
        <v>0.11951024524227329</v>
      </c>
      <c r="S138" s="228">
        <f t="shared" si="134"/>
        <v>0.14642655964807927</v>
      </c>
      <c r="T138" s="228">
        <f t="shared" si="134"/>
        <v>0.16084076436645986</v>
      </c>
      <c r="U138" s="228">
        <f t="shared" si="134"/>
        <v>0.22978824279626117</v>
      </c>
      <c r="V138" s="228">
        <f t="shared" si="134"/>
        <v>0.23592518838489418</v>
      </c>
      <c r="W138" s="228">
        <f t="shared" si="134"/>
        <v>0.39918153192440131</v>
      </c>
      <c r="X138" s="228">
        <f t="shared" si="134"/>
        <v>0.3274331889818059</v>
      </c>
      <c r="Y138" s="228">
        <f t="shared" si="134"/>
        <v>0.24380803064486287</v>
      </c>
      <c r="Z138" s="228">
        <f t="shared" si="134"/>
        <v>0.39033282785673412</v>
      </c>
      <c r="AA138" s="228">
        <f t="shared" si="134"/>
        <v>0.40570888276765199</v>
      </c>
      <c r="AB138" s="228">
        <f t="shared" si="134"/>
        <v>0.39531504387847749</v>
      </c>
      <c r="AC138" s="228">
        <f t="shared" si="134"/>
        <v>0.41051828754517844</v>
      </c>
      <c r="AD138" s="228">
        <f t="shared" si="134"/>
        <v>0.46798213146426493</v>
      </c>
      <c r="AE138" s="228">
        <f t="shared" si="134"/>
        <v>0.38553877577837004</v>
      </c>
      <c r="AF138" s="228">
        <f t="shared" si="134"/>
        <v>0.3291282569583775</v>
      </c>
      <c r="AG138" s="228">
        <f t="shared" si="134"/>
        <v>0.35131896932693696</v>
      </c>
      <c r="AH138" s="228">
        <f t="shared" si="134"/>
        <v>0.2830214887007903</v>
      </c>
      <c r="AI138" s="228">
        <f t="shared" ref="AI138:BN138" si="135">+AI39*1000000/AI144</f>
        <v>0.32340819894968631</v>
      </c>
      <c r="AJ138" s="228">
        <f t="shared" si="135"/>
        <v>0.434918086253341</v>
      </c>
      <c r="AK138" s="228">
        <f t="shared" si="135"/>
        <v>0.43103616109565285</v>
      </c>
      <c r="AL138" s="228">
        <f t="shared" si="135"/>
        <v>0.46079509465943908</v>
      </c>
      <c r="AM138" s="228">
        <f t="shared" si="135"/>
        <v>0.52578437753142027</v>
      </c>
      <c r="AN138" s="228">
        <f t="shared" si="135"/>
        <v>0.48302163494929351</v>
      </c>
      <c r="AO138" s="228">
        <f t="shared" si="135"/>
        <v>0.42817650112455519</v>
      </c>
      <c r="AP138" s="228">
        <f t="shared" si="135"/>
        <v>0.48525562081243795</v>
      </c>
      <c r="AQ138" s="228">
        <f t="shared" si="135"/>
        <v>0.62643025648264972</v>
      </c>
      <c r="AR138" s="228">
        <f t="shared" si="135"/>
        <v>0.40278274523052038</v>
      </c>
      <c r="AS138" s="228">
        <f t="shared" si="135"/>
        <v>0.61324189856486444</v>
      </c>
      <c r="AT138" s="228">
        <f t="shared" si="135"/>
        <v>0.38822387478656684</v>
      </c>
      <c r="AU138" s="228">
        <f t="shared" si="135"/>
        <v>0.42335301418317567</v>
      </c>
      <c r="AV138" s="228">
        <f t="shared" si="135"/>
        <v>0.26958087907585043</v>
      </c>
      <c r="AW138" s="228">
        <f t="shared" si="135"/>
        <v>0.21901583117303758</v>
      </c>
      <c r="AX138" s="228">
        <f t="shared" si="135"/>
        <v>0.20442397783096869</v>
      </c>
      <c r="AY138" s="228">
        <f t="shared" si="135"/>
        <v>0.30839779817977919</v>
      </c>
      <c r="AZ138" s="228">
        <f t="shared" si="135"/>
        <v>0.22799257747877341</v>
      </c>
      <c r="BA138" s="228">
        <f t="shared" si="135"/>
        <v>0.42705673080809353</v>
      </c>
      <c r="BB138" s="228">
        <f t="shared" si="135"/>
        <v>0.37394599771891063</v>
      </c>
      <c r="BC138" s="228">
        <f t="shared" si="135"/>
        <v>0.44808264290384442</v>
      </c>
      <c r="BD138" s="228">
        <f t="shared" si="135"/>
        <v>0.38056381419853852</v>
      </c>
      <c r="BE138" s="228">
        <f t="shared" si="135"/>
        <v>0.41547620539617736</v>
      </c>
      <c r="BF138" s="228">
        <f t="shared" si="135"/>
        <v>0.46872546631491796</v>
      </c>
      <c r="BG138" s="228">
        <f t="shared" si="135"/>
        <v>0.67396592437595071</v>
      </c>
      <c r="BH138" s="228">
        <f t="shared" si="135"/>
        <v>0.71290343349966634</v>
      </c>
      <c r="BI138" s="228">
        <f t="shared" si="135"/>
        <v>0.63166058518384061</v>
      </c>
      <c r="BJ138" s="228">
        <f t="shared" si="135"/>
        <v>0.79700818475079704</v>
      </c>
      <c r="BK138" s="228">
        <f t="shared" si="135"/>
        <v>0.66566554939894917</v>
      </c>
      <c r="BL138" s="228">
        <f t="shared" si="135"/>
        <v>0.636017216015061</v>
      </c>
      <c r="BM138" s="228">
        <f t="shared" si="135"/>
        <v>0.70469033700346173</v>
      </c>
      <c r="BN138" s="228">
        <f t="shared" si="135"/>
        <v>0.67576785999211408</v>
      </c>
      <c r="BO138" s="228">
        <f t="shared" ref="BO138:CB138" si="136">+BO39*1000000/BO144</f>
        <v>0.68948295487105293</v>
      </c>
      <c r="BP138" s="228">
        <f t="shared" si="136"/>
        <v>0.59211853677032145</v>
      </c>
      <c r="BQ138" s="228">
        <f t="shared" si="136"/>
        <v>0.59381757791042766</v>
      </c>
      <c r="BR138" s="228">
        <f t="shared" si="136"/>
        <v>0.65358897530495697</v>
      </c>
      <c r="BS138" s="228">
        <f t="shared" si="136"/>
        <v>0.68807661868362513</v>
      </c>
      <c r="BT138" s="228">
        <f t="shared" si="136"/>
        <v>0.52607698291854832</v>
      </c>
      <c r="BU138" s="228">
        <f t="shared" si="136"/>
        <v>0.70608610406080574</v>
      </c>
      <c r="BV138" s="228">
        <f t="shared" si="136"/>
        <v>0.39384422039549838</v>
      </c>
      <c r="BW138" s="229">
        <f t="shared" si="136"/>
        <v>0.57404090389784956</v>
      </c>
      <c r="BX138" s="229">
        <f t="shared" si="136"/>
        <v>0.66755656274221686</v>
      </c>
      <c r="BY138" s="229">
        <f t="shared" si="136"/>
        <v>0.9067801928073993</v>
      </c>
      <c r="BZ138" s="228">
        <f t="shared" si="136"/>
        <v>0.78724790740387063</v>
      </c>
      <c r="CA138" s="228">
        <f t="shared" si="136"/>
        <v>1.9789189581282989</v>
      </c>
      <c r="CB138" s="228">
        <f t="shared" si="136"/>
        <v>1.806919842672474</v>
      </c>
      <c r="CC138" s="418">
        <f>+CC39*1000000/CC144</f>
        <v>2.124128076390003</v>
      </c>
      <c r="CD138" s="418">
        <f>+CD39*1000000/CD144</f>
        <v>2.6601476668735091</v>
      </c>
      <c r="CE138" s="382">
        <f>+CE39*1000000/CE144</f>
        <v>3.9896350848440454</v>
      </c>
    </row>
    <row r="139" spans="1:84" x14ac:dyDescent="0.2">
      <c r="A139" s="11" t="s">
        <v>50</v>
      </c>
      <c r="B139" s="12"/>
      <c r="C139" s="219" t="s">
        <v>37</v>
      </c>
      <c r="D139" s="219" t="s">
        <v>37</v>
      </c>
      <c r="E139" s="219" t="s">
        <v>37</v>
      </c>
      <c r="F139" s="233">
        <f t="shared" ref="F139:AK139" si="137">F136/SUM(C39:F39)</f>
        <v>59.050454963251582</v>
      </c>
      <c r="G139" s="233">
        <f t="shared" si="137"/>
        <v>36.084212164190099</v>
      </c>
      <c r="H139" s="233">
        <f t="shared" si="137"/>
        <v>24.926184247132337</v>
      </c>
      <c r="I139" s="233">
        <f t="shared" si="137"/>
        <v>15.674734495333547</v>
      </c>
      <c r="J139" s="233">
        <f t="shared" si="137"/>
        <v>18.573407036017265</v>
      </c>
      <c r="K139" s="233">
        <f t="shared" si="137"/>
        <v>15.517886484517303</v>
      </c>
      <c r="L139" s="233">
        <f t="shared" si="137"/>
        <v>11.761887340623632</v>
      </c>
      <c r="M139" s="233">
        <f t="shared" si="137"/>
        <v>12.312793760787109</v>
      </c>
      <c r="N139" s="233">
        <f t="shared" si="137"/>
        <v>17.773704510497758</v>
      </c>
      <c r="O139" s="233">
        <f t="shared" si="137"/>
        <v>14.906634786605162</v>
      </c>
      <c r="P139" s="233">
        <f t="shared" si="137"/>
        <v>11.762993996426266</v>
      </c>
      <c r="Q139" s="233">
        <f t="shared" si="137"/>
        <v>11.322403551830924</v>
      </c>
      <c r="R139" s="233">
        <f t="shared" si="137"/>
        <v>15.538067692437837</v>
      </c>
      <c r="S139" s="233">
        <f t="shared" si="137"/>
        <v>23.919627056679467</v>
      </c>
      <c r="T139" s="233">
        <f t="shared" si="137"/>
        <v>22.125129758624148</v>
      </c>
      <c r="U139" s="233">
        <f t="shared" si="137"/>
        <v>20.059955092057159</v>
      </c>
      <c r="V139" s="233">
        <f t="shared" si="137"/>
        <v>25.661586693091731</v>
      </c>
      <c r="W139" s="233">
        <f t="shared" si="137"/>
        <v>25.273311437813653</v>
      </c>
      <c r="X139" s="233">
        <f t="shared" si="137"/>
        <v>22.544741437492021</v>
      </c>
      <c r="Y139" s="233">
        <f t="shared" si="137"/>
        <v>20.937218475390161</v>
      </c>
      <c r="Z139" s="233">
        <f t="shared" si="137"/>
        <v>17.999672034434536</v>
      </c>
      <c r="AA139" s="233">
        <f t="shared" si="137"/>
        <v>17.5798155249588</v>
      </c>
      <c r="AB139" s="233">
        <f t="shared" si="137"/>
        <v>17.611419571132288</v>
      </c>
      <c r="AC139" s="234">
        <f t="shared" si="137"/>
        <v>14.69194972693124</v>
      </c>
      <c r="AD139" s="234">
        <f t="shared" si="137"/>
        <v>15.862703912144861</v>
      </c>
      <c r="AE139" s="234">
        <f t="shared" si="137"/>
        <v>15.466782529189095</v>
      </c>
      <c r="AF139" s="234">
        <f t="shared" si="137"/>
        <v>11.485878004704826</v>
      </c>
      <c r="AG139" s="234">
        <f t="shared" si="137"/>
        <v>10.44034306858174</v>
      </c>
      <c r="AH139" s="234">
        <f t="shared" si="137"/>
        <v>10.56689755089408</v>
      </c>
      <c r="AI139" s="234">
        <f t="shared" si="137"/>
        <v>13.354306792504245</v>
      </c>
      <c r="AJ139" s="235">
        <f t="shared" si="137"/>
        <v>17.27015084998196</v>
      </c>
      <c r="AK139" s="234">
        <f t="shared" si="137"/>
        <v>19.53112896750719</v>
      </c>
      <c r="AL139" s="235">
        <f t="shared" ref="AL139:BQ139" si="138">AL136/SUM(AI39:AL39)</f>
        <v>20.362912818628708</v>
      </c>
      <c r="AM139" s="234">
        <f t="shared" si="138"/>
        <v>20.090451737505735</v>
      </c>
      <c r="AN139" s="235">
        <f t="shared" si="138"/>
        <v>22.79165659506544</v>
      </c>
      <c r="AO139" s="235">
        <f t="shared" si="138"/>
        <v>24.276795573473425</v>
      </c>
      <c r="AP139" s="235">
        <f t="shared" si="138"/>
        <v>24.21158302362829</v>
      </c>
      <c r="AQ139" s="235">
        <f t="shared" si="138"/>
        <v>23.827700423568313</v>
      </c>
      <c r="AR139" s="235">
        <f t="shared" si="138"/>
        <v>19.996360845552115</v>
      </c>
      <c r="AS139" s="236">
        <f t="shared" si="138"/>
        <v>15.345203326306754</v>
      </c>
      <c r="AT139" s="234">
        <f t="shared" si="138"/>
        <v>16.049828449599485</v>
      </c>
      <c r="AU139" s="234">
        <f t="shared" si="138"/>
        <v>20.162809769148684</v>
      </c>
      <c r="AV139" s="235">
        <f t="shared" si="138"/>
        <v>16.946874690587055</v>
      </c>
      <c r="AW139" s="235">
        <f t="shared" si="138"/>
        <v>22.500123580709964</v>
      </c>
      <c r="AX139" s="235">
        <f t="shared" si="138"/>
        <v>23.735929880221452</v>
      </c>
      <c r="AY139" s="235">
        <f t="shared" si="138"/>
        <v>35.024422680548625</v>
      </c>
      <c r="AZ139" s="235">
        <f t="shared" si="138"/>
        <v>28.546716323192978</v>
      </c>
      <c r="BA139" s="235">
        <f t="shared" si="138"/>
        <v>33.051593210063039</v>
      </c>
      <c r="BB139" s="235">
        <f t="shared" si="138"/>
        <v>31.216707738883112</v>
      </c>
      <c r="BC139" s="235">
        <f t="shared" si="138"/>
        <v>33.521489045834805</v>
      </c>
      <c r="BD139" s="235">
        <f t="shared" si="138"/>
        <v>34.167866732115712</v>
      </c>
      <c r="BE139" s="235">
        <f t="shared" si="138"/>
        <v>29.850042344070928</v>
      </c>
      <c r="BF139" s="235">
        <f t="shared" si="138"/>
        <v>29.852157238803571</v>
      </c>
      <c r="BG139" s="235">
        <f t="shared" si="138"/>
        <v>30.677762794833626</v>
      </c>
      <c r="BH139" s="235">
        <f t="shared" si="138"/>
        <v>26.633560111263645</v>
      </c>
      <c r="BI139" s="236">
        <f t="shared" si="138"/>
        <v>27.600315947772181</v>
      </c>
      <c r="BJ139" s="235">
        <f t="shared" si="138"/>
        <v>25.974653664856291</v>
      </c>
      <c r="BK139" s="235">
        <f t="shared" si="138"/>
        <v>25.584684865849049</v>
      </c>
      <c r="BL139" s="235">
        <f t="shared" si="138"/>
        <v>23.823806732527615</v>
      </c>
      <c r="BM139" s="235">
        <f t="shared" si="138"/>
        <v>24.310242246981467</v>
      </c>
      <c r="BN139" s="235">
        <f t="shared" si="138"/>
        <v>27.602588689783801</v>
      </c>
      <c r="BO139" s="235">
        <f t="shared" si="138"/>
        <v>24.913959478857386</v>
      </c>
      <c r="BP139" s="236">
        <f t="shared" si="138"/>
        <v>27.595572245404814</v>
      </c>
      <c r="BQ139" s="235">
        <f t="shared" si="138"/>
        <v>26.834726313195141</v>
      </c>
      <c r="BR139" s="235">
        <f t="shared" ref="BR139:CC139" si="139">BR136/SUM(BO39:BR39)</f>
        <v>27.275489900746251</v>
      </c>
      <c r="BS139" s="235">
        <f t="shared" si="139"/>
        <v>34.850145885470418</v>
      </c>
      <c r="BT139" s="235">
        <f t="shared" si="139"/>
        <v>37.33245524275916</v>
      </c>
      <c r="BU139" s="235">
        <f t="shared" si="139"/>
        <v>31.647746618448362</v>
      </c>
      <c r="BV139" s="235">
        <f t="shared" si="139"/>
        <v>36.736061834261385</v>
      </c>
      <c r="BW139" s="234">
        <f t="shared" si="139"/>
        <v>36.332347005114869</v>
      </c>
      <c r="BX139" s="234">
        <f t="shared" si="139"/>
        <v>30.292205357099839</v>
      </c>
      <c r="BY139" s="234">
        <f t="shared" si="139"/>
        <v>31.977820291105704</v>
      </c>
      <c r="BZ139" s="235">
        <f t="shared" si="139"/>
        <v>33.65646299149568</v>
      </c>
      <c r="CA139" s="235">
        <f t="shared" si="139"/>
        <v>19.159480091314155</v>
      </c>
      <c r="CB139" s="235">
        <f t="shared" si="139"/>
        <v>24.098481762595327</v>
      </c>
      <c r="CC139" s="235">
        <f t="shared" si="139"/>
        <v>26.252424180970188</v>
      </c>
      <c r="CD139" s="235">
        <f>CD136/SUM(CA39:CD39)</f>
        <v>27.053035835333677</v>
      </c>
      <c r="CE139" s="349">
        <f>CE136/SUM(CB39:CE39)</f>
        <v>25.310828695384188</v>
      </c>
    </row>
    <row r="140" spans="1:84" x14ac:dyDescent="0.2">
      <c r="A140" s="47" t="s">
        <v>38</v>
      </c>
      <c r="B140" s="48"/>
      <c r="C140" s="130">
        <f t="shared" ref="C140:AH140" si="140">+C136/C52</f>
        <v>0.84789346202258442</v>
      </c>
      <c r="D140" s="130">
        <f t="shared" si="140"/>
        <v>0.70528075823019798</v>
      </c>
      <c r="E140" s="130">
        <f t="shared" si="140"/>
        <v>0.74619091214001154</v>
      </c>
      <c r="F140" s="130">
        <f t="shared" si="140"/>
        <v>2.2409826599326603</v>
      </c>
      <c r="G140" s="130">
        <f t="shared" si="140"/>
        <v>1.864346918767507</v>
      </c>
      <c r="H140" s="130">
        <f t="shared" si="140"/>
        <v>1.5757619898534387</v>
      </c>
      <c r="I140" s="130">
        <f t="shared" si="140"/>
        <v>1.4181322229544207</v>
      </c>
      <c r="J140" s="130">
        <f t="shared" si="140"/>
        <v>1.8719208281249999</v>
      </c>
      <c r="K140" s="130">
        <f t="shared" si="140"/>
        <v>1.7502454401643555</v>
      </c>
      <c r="L140" s="130">
        <f t="shared" si="140"/>
        <v>1.7669465656265479</v>
      </c>
      <c r="M140" s="130">
        <f t="shared" si="140"/>
        <v>2.218572833333333</v>
      </c>
      <c r="N140" s="130">
        <f t="shared" si="140"/>
        <v>3.3001635313184408</v>
      </c>
      <c r="O140" s="130">
        <f t="shared" si="140"/>
        <v>4.2770022051056342</v>
      </c>
      <c r="P140" s="130">
        <f t="shared" si="140"/>
        <v>3.5716283637860089</v>
      </c>
      <c r="Q140" s="130">
        <f t="shared" si="140"/>
        <v>3.1926444560157794</v>
      </c>
      <c r="R140" s="130">
        <f t="shared" si="140"/>
        <v>4.2377233895131088</v>
      </c>
      <c r="S140" s="130">
        <f t="shared" si="140"/>
        <v>5.9323358014399394</v>
      </c>
      <c r="T140" s="130">
        <f t="shared" si="140"/>
        <v>5.4278089576775095</v>
      </c>
      <c r="U140" s="130">
        <f t="shared" si="140"/>
        <v>5.641272019441832</v>
      </c>
      <c r="V140" s="130">
        <f t="shared" si="140"/>
        <v>7.6875932315521629</v>
      </c>
      <c r="W140" s="130">
        <f t="shared" si="140"/>
        <v>8.7299208312958445</v>
      </c>
      <c r="X140" s="130">
        <f t="shared" si="140"/>
        <v>9.2928972180451126</v>
      </c>
      <c r="Y140" s="130">
        <f t="shared" si="140"/>
        <v>8.0205578247873071</v>
      </c>
      <c r="Z140" s="130">
        <f t="shared" si="140"/>
        <v>6.9254180042962359</v>
      </c>
      <c r="AA140" s="130">
        <f t="shared" si="140"/>
        <v>7.6433913385464587</v>
      </c>
      <c r="AB140" s="130">
        <f t="shared" si="140"/>
        <v>7.1457923052545489</v>
      </c>
      <c r="AC140" s="131">
        <f t="shared" si="140"/>
        <v>5.9283831857923497</v>
      </c>
      <c r="AD140" s="132">
        <f t="shared" si="140"/>
        <v>6.4226527050610818</v>
      </c>
      <c r="AE140" s="132">
        <f t="shared" si="140"/>
        <v>5.6420893141945774</v>
      </c>
      <c r="AF140" s="132">
        <f t="shared" si="140"/>
        <v>4.7762917267552183</v>
      </c>
      <c r="AG140" s="132">
        <f t="shared" si="140"/>
        <v>3.7730511149228128</v>
      </c>
      <c r="AH140" s="132">
        <f t="shared" si="140"/>
        <v>3.1178508121019108</v>
      </c>
      <c r="AI140" s="132">
        <f t="shared" ref="AI140:BN140" si="141">+AI136/AI52</f>
        <v>3.5190179427083335</v>
      </c>
      <c r="AJ140" s="130">
        <f t="shared" si="141"/>
        <v>5.8179080745614034</v>
      </c>
      <c r="AK140" s="132">
        <f t="shared" si="141"/>
        <v>6.3034537142857143</v>
      </c>
      <c r="AL140" s="130">
        <f t="shared" si="141"/>
        <v>6.7053784776334782</v>
      </c>
      <c r="AM140" s="132">
        <f t="shared" si="141"/>
        <v>6.7236154758800524</v>
      </c>
      <c r="AN140" s="130">
        <f t="shared" si="141"/>
        <v>9.3057515301391032</v>
      </c>
      <c r="AO140" s="130">
        <f t="shared" si="141"/>
        <v>8.8309081893004109</v>
      </c>
      <c r="AP140" s="130">
        <f t="shared" si="141"/>
        <v>8.0467994833948335</v>
      </c>
      <c r="AQ140" s="130">
        <f t="shared" si="141"/>
        <v>7.5543994241417503</v>
      </c>
      <c r="AR140" s="130">
        <f t="shared" si="141"/>
        <v>7.0978369222365041</v>
      </c>
      <c r="AS140" s="131">
        <f t="shared" si="141"/>
        <v>5.5412763539818801</v>
      </c>
      <c r="AT140" s="132">
        <f t="shared" si="141"/>
        <v>5.3111740432507766</v>
      </c>
      <c r="AU140" s="132">
        <f t="shared" si="141"/>
        <v>5.6222824748663101</v>
      </c>
      <c r="AV140" s="130">
        <f t="shared" si="141"/>
        <v>5.352574509138381</v>
      </c>
      <c r="AW140" s="130">
        <f t="shared" si="141"/>
        <v>5.2374371907894739</v>
      </c>
      <c r="AX140" s="130">
        <f t="shared" si="141"/>
        <v>4.5856252783816425</v>
      </c>
      <c r="AY140" s="130">
        <f t="shared" si="141"/>
        <v>5.787979066437571</v>
      </c>
      <c r="AZ140" s="130">
        <f t="shared" si="141"/>
        <v>5.8343707064896755</v>
      </c>
      <c r="BA140" s="130">
        <f t="shared" si="141"/>
        <v>7.5305853662162168</v>
      </c>
      <c r="BB140" s="130">
        <f t="shared" si="141"/>
        <v>7.6002684168765748</v>
      </c>
      <c r="BC140" s="130">
        <f t="shared" si="141"/>
        <v>8.3528825721769504</v>
      </c>
      <c r="BD140" s="130">
        <f t="shared" si="141"/>
        <v>11.836968023426062</v>
      </c>
      <c r="BE140" s="130">
        <f t="shared" si="141"/>
        <v>9.4119911572958515</v>
      </c>
      <c r="BF140" s="130">
        <f t="shared" si="141"/>
        <v>9.1404008907975456</v>
      </c>
      <c r="BG140" s="130">
        <f t="shared" si="141"/>
        <v>12.18618114255618</v>
      </c>
      <c r="BH140" s="130">
        <f t="shared" si="141"/>
        <v>9.7329400792079213</v>
      </c>
      <c r="BI140" s="131">
        <f t="shared" si="141"/>
        <v>10.009626840119166</v>
      </c>
      <c r="BJ140" s="130">
        <f t="shared" si="141"/>
        <v>9.5772223268206034</v>
      </c>
      <c r="BK140" s="130">
        <f t="shared" si="141"/>
        <v>8.6785619738562083</v>
      </c>
      <c r="BL140" s="130">
        <f t="shared" si="141"/>
        <v>8.8179065013723701</v>
      </c>
      <c r="BM140" s="130">
        <f t="shared" si="141"/>
        <v>8.3806085816072908</v>
      </c>
      <c r="BN140" s="130">
        <f t="shared" si="141"/>
        <v>8.4178610229357798</v>
      </c>
      <c r="BO140" s="130">
        <f t="shared" ref="BO140:CA140" si="142">+BO136/BO52</f>
        <v>9.1554943732240428</v>
      </c>
      <c r="BP140" s="131">
        <f t="shared" si="142"/>
        <v>9.2561040504215839</v>
      </c>
      <c r="BQ140" s="130">
        <f t="shared" si="142"/>
        <v>7.7010616601956361</v>
      </c>
      <c r="BR140" s="130">
        <f t="shared" si="142"/>
        <v>7.2331464542396642</v>
      </c>
      <c r="BS140" s="130">
        <f t="shared" si="142"/>
        <v>10.576098748527384</v>
      </c>
      <c r="BT140" s="130">
        <f t="shared" si="142"/>
        <v>10.425242735063591</v>
      </c>
      <c r="BU140" s="130">
        <f t="shared" si="142"/>
        <v>7.9669896592536844</v>
      </c>
      <c r="BV140" s="130">
        <f t="shared" si="142"/>
        <v>7.9437614068207143</v>
      </c>
      <c r="BW140" s="132">
        <f t="shared" si="142"/>
        <v>8.5306328084883134</v>
      </c>
      <c r="BX140" s="132">
        <f t="shared" si="142"/>
        <v>7.0186969954378471</v>
      </c>
      <c r="BY140" s="132">
        <f t="shared" si="142"/>
        <v>6.7057290342340306</v>
      </c>
      <c r="BZ140" s="130">
        <f t="shared" si="142"/>
        <v>7.7315413276116542</v>
      </c>
      <c r="CA140" s="130">
        <f t="shared" si="142"/>
        <v>6.929751370178713</v>
      </c>
      <c r="CB140" s="130">
        <f>+CB136/CB52</f>
        <v>9.363766145621728</v>
      </c>
      <c r="CC140" s="401">
        <f>+CC136/CC52</f>
        <v>10.415011874944494</v>
      </c>
      <c r="CD140" s="401">
        <f>+CD136/CD52</f>
        <v>11.381645236005712</v>
      </c>
      <c r="CE140" s="383">
        <f>+CE136/CE52</f>
        <v>11.459307503326182</v>
      </c>
    </row>
    <row r="141" spans="1:84" x14ac:dyDescent="0.2">
      <c r="A141" s="39" t="s">
        <v>51</v>
      </c>
      <c r="B141" s="40"/>
      <c r="C141" s="217">
        <f t="shared" ref="C141:AH141" si="143">C136/C78</f>
        <v>5.0753470860655743E-2</v>
      </c>
      <c r="D141" s="217">
        <f t="shared" si="143"/>
        <v>3.9008597768460676E-2</v>
      </c>
      <c r="E141" s="217">
        <f t="shared" si="143"/>
        <v>2.9258143999776842E-2</v>
      </c>
      <c r="F141" s="217">
        <f t="shared" si="143"/>
        <v>4.6508794139569556E-2</v>
      </c>
      <c r="G141" s="217">
        <f t="shared" si="143"/>
        <v>3.7144602754710244E-2</v>
      </c>
      <c r="H141" s="217">
        <f t="shared" si="143"/>
        <v>4.1134861309357389E-2</v>
      </c>
      <c r="I141" s="217">
        <f t="shared" si="143"/>
        <v>4.7817256934414694E-2</v>
      </c>
      <c r="J141" s="217">
        <f t="shared" si="143"/>
        <v>5.3120619429787609E-2</v>
      </c>
      <c r="K141" s="217">
        <f t="shared" si="143"/>
        <v>5.2200914079134811E-2</v>
      </c>
      <c r="L141" s="217">
        <f t="shared" si="143"/>
        <v>4.4891279819803953E-2</v>
      </c>
      <c r="M141" s="217">
        <f t="shared" si="143"/>
        <v>5.0367219214712253E-2</v>
      </c>
      <c r="N141" s="217">
        <f t="shared" si="143"/>
        <v>6.5485809390536456E-2</v>
      </c>
      <c r="O141" s="217">
        <f t="shared" si="143"/>
        <v>6.667089083436821E-2</v>
      </c>
      <c r="P141" s="217">
        <f t="shared" si="143"/>
        <v>5.7066770932235715E-2</v>
      </c>
      <c r="Q141" s="217">
        <f t="shared" si="143"/>
        <v>5.2596937098294071E-2</v>
      </c>
      <c r="R141" s="217">
        <f t="shared" si="143"/>
        <v>6.5395453993757943E-2</v>
      </c>
      <c r="S141" s="217">
        <f t="shared" si="143"/>
        <v>7.7547833525690876E-2</v>
      </c>
      <c r="T141" s="217">
        <f t="shared" si="143"/>
        <v>6.7251895200783549E-2</v>
      </c>
      <c r="U141" s="217">
        <f t="shared" si="143"/>
        <v>6.567832788752552E-2</v>
      </c>
      <c r="V141" s="217">
        <f t="shared" si="143"/>
        <v>8.5319874048855479E-2</v>
      </c>
      <c r="W141" s="217">
        <f t="shared" si="143"/>
        <v>9.2082072746778904E-2</v>
      </c>
      <c r="X141" s="217">
        <f t="shared" si="143"/>
        <v>0.10076571640545806</v>
      </c>
      <c r="Y141" s="217">
        <f t="shared" si="143"/>
        <v>8.9030419150978077E-2</v>
      </c>
      <c r="Z141" s="217">
        <f t="shared" si="143"/>
        <v>7.4358410280572967E-2</v>
      </c>
      <c r="AA141" s="217">
        <f t="shared" si="143"/>
        <v>6.8066354272699914E-2</v>
      </c>
      <c r="AB141" s="217">
        <f t="shared" si="143"/>
        <v>6.7353114935595523E-2</v>
      </c>
      <c r="AC141" s="138">
        <f t="shared" si="143"/>
        <v>6.297150757473155E-2</v>
      </c>
      <c r="AD141" s="138">
        <f t="shared" si="143"/>
        <v>7.6371295758280069E-2</v>
      </c>
      <c r="AE141" s="138">
        <f t="shared" si="143"/>
        <v>7.5426749962687362E-2</v>
      </c>
      <c r="AF141" s="138">
        <f t="shared" si="143"/>
        <v>5.4670961534284655E-2</v>
      </c>
      <c r="AG141" s="138">
        <f t="shared" si="143"/>
        <v>5.4255698887600817E-2</v>
      </c>
      <c r="AH141" s="138">
        <f t="shared" si="143"/>
        <v>5.4537483905538454E-2</v>
      </c>
      <c r="AI141" s="138">
        <f t="shared" ref="AI141:BN141" si="144">AI136/AI78</f>
        <v>6.0531396255151408E-2</v>
      </c>
      <c r="AJ141" s="137">
        <f t="shared" si="144"/>
        <v>6.7484892195767199E-2</v>
      </c>
      <c r="AK141" s="138">
        <f t="shared" si="144"/>
        <v>6.8686450809464505E-2</v>
      </c>
      <c r="AL141" s="137">
        <f t="shared" si="144"/>
        <v>7.2129942489483581E-2</v>
      </c>
      <c r="AM141" s="138">
        <f t="shared" si="144"/>
        <v>6.9007681818790065E-2</v>
      </c>
      <c r="AN141" s="137">
        <f t="shared" si="144"/>
        <v>8.2608271225509025E-2</v>
      </c>
      <c r="AO141" s="137">
        <f t="shared" si="144"/>
        <v>8.201037045057899E-2</v>
      </c>
      <c r="AP141" s="137">
        <f t="shared" si="144"/>
        <v>7.6168636030225056E-2</v>
      </c>
      <c r="AQ141" s="137">
        <f t="shared" si="144"/>
        <v>7.5150349553281273E-2</v>
      </c>
      <c r="AR141" s="137">
        <f t="shared" si="144"/>
        <v>6.256931115731508E-2</v>
      </c>
      <c r="AS141" s="139">
        <f t="shared" si="144"/>
        <v>6.3619621203422724E-2</v>
      </c>
      <c r="AT141" s="138">
        <f t="shared" si="144"/>
        <v>6.0550510673074417E-2</v>
      </c>
      <c r="AU141" s="138">
        <f t="shared" si="144"/>
        <v>6.1630488111986494E-2</v>
      </c>
      <c r="AV141" s="137">
        <f t="shared" si="144"/>
        <v>5.0342841913976644E-2</v>
      </c>
      <c r="AW141" s="137">
        <f t="shared" si="144"/>
        <v>4.9191705545355041E-2</v>
      </c>
      <c r="AX141" s="137">
        <f t="shared" si="144"/>
        <v>4.2821027986105625E-2</v>
      </c>
      <c r="AY141" s="137">
        <f t="shared" si="144"/>
        <v>5.2387232382611219E-2</v>
      </c>
      <c r="AZ141" s="137">
        <f t="shared" si="144"/>
        <v>4.0565075516587196E-2</v>
      </c>
      <c r="BA141" s="137">
        <f t="shared" si="144"/>
        <v>5.1514505722156489E-2</v>
      </c>
      <c r="BB141" s="137">
        <f t="shared" si="144"/>
        <v>5.2093931535466716E-2</v>
      </c>
      <c r="BC141" s="137">
        <f t="shared" si="144"/>
        <v>5.698298188092156E-2</v>
      </c>
      <c r="BD141" s="137">
        <f t="shared" si="144"/>
        <v>6.0056673079923038E-2</v>
      </c>
      <c r="BE141" s="137">
        <f t="shared" si="144"/>
        <v>5.0830753952876367E-2</v>
      </c>
      <c r="BF141" s="137">
        <f t="shared" si="144"/>
        <v>5.0581499202378422E-2</v>
      </c>
      <c r="BG141" s="137">
        <f t="shared" si="144"/>
        <v>4.9852400089057426E-2</v>
      </c>
      <c r="BH141" s="137">
        <f t="shared" si="144"/>
        <v>5.0328474497980544E-2</v>
      </c>
      <c r="BI141" s="139">
        <f t="shared" si="144"/>
        <v>5.7072870558224451E-2</v>
      </c>
      <c r="BJ141" s="137">
        <f t="shared" si="144"/>
        <v>5.4412413224062275E-2</v>
      </c>
      <c r="BK141" s="137">
        <f t="shared" si="144"/>
        <v>5.4300183764395223E-2</v>
      </c>
      <c r="BL141" s="137">
        <f t="shared" si="144"/>
        <v>4.681831644960871E-2</v>
      </c>
      <c r="BM141" s="137">
        <f t="shared" si="144"/>
        <v>4.3898287352231502E-2</v>
      </c>
      <c r="BN141" s="137">
        <f t="shared" si="144"/>
        <v>4.604136493759016E-2</v>
      </c>
      <c r="BO141" s="137">
        <f t="shared" ref="BO141:CB141" si="145">BO136/BO78</f>
        <v>3.9414562870881922E-2</v>
      </c>
      <c r="BP141" s="139">
        <f t="shared" si="145"/>
        <v>4.0605831335428326E-2</v>
      </c>
      <c r="BQ141" s="137">
        <f t="shared" si="145"/>
        <v>3.6425325329742103E-2</v>
      </c>
      <c r="BR141" s="137">
        <f t="shared" si="145"/>
        <v>3.6481332214552631E-2</v>
      </c>
      <c r="BS141" s="137">
        <f t="shared" si="145"/>
        <v>4.5733898553967325E-2</v>
      </c>
      <c r="BT141" s="137">
        <f t="shared" si="145"/>
        <v>4.4924553449044904E-2</v>
      </c>
      <c r="BU141" s="137">
        <f t="shared" si="145"/>
        <v>3.7024602025702333E-2</v>
      </c>
      <c r="BV141" s="137">
        <f t="shared" si="145"/>
        <v>4.2748419445560605E-2</v>
      </c>
      <c r="BW141" s="138">
        <f t="shared" si="145"/>
        <v>3.5984781390881022E-2</v>
      </c>
      <c r="BX141" s="138">
        <f t="shared" si="145"/>
        <v>2.9869721713690643E-2</v>
      </c>
      <c r="BY141" s="138">
        <f t="shared" si="145"/>
        <v>3.2707960735361509E-2</v>
      </c>
      <c r="BZ141" s="137">
        <f t="shared" si="145"/>
        <v>3.6888917348488003E-2</v>
      </c>
      <c r="CA141" s="137">
        <f t="shared" si="145"/>
        <v>3.4586436933566986E-2</v>
      </c>
      <c r="CB141" s="137">
        <f t="shared" si="145"/>
        <v>4.5764405589311392E-2</v>
      </c>
      <c r="CC141" s="137">
        <f>CC136/CC78</f>
        <v>5.2978069410456019E-2</v>
      </c>
      <c r="CD141" s="137">
        <f>CD136/CD78</f>
        <v>6.328432201287118E-2</v>
      </c>
      <c r="CE141" s="351">
        <f>CE136/CE78</f>
        <v>6.4308989907040814E-2</v>
      </c>
    </row>
    <row r="142" spans="1:84" ht="15" x14ac:dyDescent="0.2">
      <c r="A142" s="39" t="s">
        <v>210</v>
      </c>
      <c r="B142" s="40"/>
      <c r="C142" s="41">
        <v>104947855</v>
      </c>
      <c r="D142" s="41">
        <v>104947855</v>
      </c>
      <c r="E142" s="41">
        <v>127077390</v>
      </c>
      <c r="F142" s="41">
        <v>133114370</v>
      </c>
      <c r="G142" s="41">
        <v>133114370</v>
      </c>
      <c r="H142" s="41">
        <v>133114370</v>
      </c>
      <c r="I142" s="41">
        <v>133114370</v>
      </c>
      <c r="J142" s="41">
        <v>133114370</v>
      </c>
      <c r="K142" s="41">
        <v>133114370</v>
      </c>
      <c r="L142" s="41">
        <v>133114370</v>
      </c>
      <c r="M142" s="41">
        <v>133114370</v>
      </c>
      <c r="N142" s="41">
        <v>133114370</v>
      </c>
      <c r="O142" s="41">
        <v>133114370</v>
      </c>
      <c r="P142" s="41">
        <v>133114370</v>
      </c>
      <c r="Q142" s="41">
        <v>133114370</v>
      </c>
      <c r="R142" s="41">
        <v>133114370</v>
      </c>
      <c r="S142" s="41">
        <v>137328370</v>
      </c>
      <c r="T142" s="41">
        <v>137328370</v>
      </c>
      <c r="U142" s="41">
        <v>137328370</v>
      </c>
      <c r="V142" s="41">
        <v>137328370</v>
      </c>
      <c r="W142" s="41">
        <v>137328370</v>
      </c>
      <c r="X142" s="41">
        <v>137328370</v>
      </c>
      <c r="Y142" s="41">
        <v>137328370</v>
      </c>
      <c r="Z142" s="41">
        <v>137328370</v>
      </c>
      <c r="AA142" s="41">
        <v>137328370</v>
      </c>
      <c r="AB142" s="41">
        <v>137328370</v>
      </c>
      <c r="AC142" s="42">
        <v>137328370</v>
      </c>
      <c r="AD142" s="42">
        <v>135800000</v>
      </c>
      <c r="AE142" s="42">
        <v>135800000</v>
      </c>
      <c r="AF142" s="42">
        <v>136799225</v>
      </c>
      <c r="AG142" s="42">
        <v>137480550</v>
      </c>
      <c r="AH142" s="42">
        <v>137888050</v>
      </c>
      <c r="AI142" s="50">
        <v>137888050</v>
      </c>
      <c r="AJ142" s="41">
        <v>137888050</v>
      </c>
      <c r="AK142" s="50">
        <v>137888050</v>
      </c>
      <c r="AL142" s="41">
        <v>137888050</v>
      </c>
      <c r="AM142" s="42">
        <v>137888050</v>
      </c>
      <c r="AN142" s="41">
        <v>138728600</v>
      </c>
      <c r="AO142" s="41">
        <v>139344850</v>
      </c>
      <c r="AP142" s="41">
        <v>139787350</v>
      </c>
      <c r="AQ142" s="41">
        <v>139787350</v>
      </c>
      <c r="AR142" s="41">
        <v>142690365</v>
      </c>
      <c r="AS142" s="43">
        <v>141898910</v>
      </c>
      <c r="AT142" s="42">
        <v>141312745</v>
      </c>
      <c r="AU142" s="50">
        <v>141312745</v>
      </c>
      <c r="AV142" s="49">
        <v>144368735</v>
      </c>
      <c r="AW142" s="49">
        <v>144368735</v>
      </c>
      <c r="AX142" s="49">
        <v>144368735</v>
      </c>
      <c r="AY142" s="49">
        <v>144368735</v>
      </c>
      <c r="AZ142" s="49">
        <v>144368735</v>
      </c>
      <c r="BA142" s="49">
        <v>144368735</v>
      </c>
      <c r="BB142" s="49">
        <v>144368735</v>
      </c>
      <c r="BC142" s="49">
        <v>144368735</v>
      </c>
      <c r="BD142" s="49">
        <v>144368735</v>
      </c>
      <c r="BE142" s="49">
        <v>144368735</v>
      </c>
      <c r="BF142" s="49">
        <v>144368735</v>
      </c>
      <c r="BG142" s="49">
        <v>144368735</v>
      </c>
      <c r="BH142" s="49">
        <v>146720440</v>
      </c>
      <c r="BI142" s="42">
        <v>146720440</v>
      </c>
      <c r="BJ142" s="41">
        <v>146720440</v>
      </c>
      <c r="BK142" s="41">
        <v>146720440</v>
      </c>
      <c r="BL142" s="41">
        <v>149194610</v>
      </c>
      <c r="BM142" s="41">
        <v>149194610</v>
      </c>
      <c r="BN142" s="41">
        <v>149194610</v>
      </c>
      <c r="BO142" s="41">
        <v>149194610</v>
      </c>
      <c r="BP142" s="43">
        <v>149194610</v>
      </c>
      <c r="BQ142" s="41">
        <v>149981110</v>
      </c>
      <c r="BR142" s="41">
        <v>149981110</v>
      </c>
      <c r="BS142" s="41">
        <v>149981110</v>
      </c>
      <c r="BT142" s="41">
        <v>149981110</v>
      </c>
      <c r="BU142" s="41">
        <v>151364980</v>
      </c>
      <c r="BV142" s="41">
        <v>151364980</v>
      </c>
      <c r="BW142" s="42">
        <v>151364980</v>
      </c>
      <c r="BX142" s="42">
        <v>151364980</v>
      </c>
      <c r="BY142" s="42">
        <v>153786322</v>
      </c>
      <c r="BZ142" s="41">
        <v>153786322</v>
      </c>
      <c r="CA142" s="41">
        <v>153786322</v>
      </c>
      <c r="CB142" s="41">
        <v>153786322</v>
      </c>
      <c r="CC142" s="393">
        <v>154954010</v>
      </c>
      <c r="CD142" s="393">
        <v>154954010</v>
      </c>
      <c r="CE142" s="268">
        <v>154954010</v>
      </c>
    </row>
    <row r="143" spans="1:84" ht="15" x14ac:dyDescent="0.2">
      <c r="A143" s="47" t="s">
        <v>211</v>
      </c>
      <c r="B143" s="48"/>
      <c r="C143" s="49">
        <v>104947855</v>
      </c>
      <c r="D143" s="49">
        <v>104947855</v>
      </c>
      <c r="E143" s="49">
        <v>109801545</v>
      </c>
      <c r="F143" s="49">
        <v>114485675</v>
      </c>
      <c r="G143" s="49">
        <v>133114370</v>
      </c>
      <c r="H143" s="49">
        <v>133114370</v>
      </c>
      <c r="I143" s="49">
        <v>133114370</v>
      </c>
      <c r="J143" s="49">
        <v>133114370</v>
      </c>
      <c r="K143" s="49">
        <v>133114370</v>
      </c>
      <c r="L143" s="49">
        <v>133114370</v>
      </c>
      <c r="M143" s="49">
        <v>133114370</v>
      </c>
      <c r="N143" s="49">
        <v>133114370</v>
      </c>
      <c r="O143" s="49">
        <v>133114370</v>
      </c>
      <c r="P143" s="49">
        <v>133114370</v>
      </c>
      <c r="Q143" s="49">
        <v>133114370</v>
      </c>
      <c r="R143" s="49">
        <v>133114370</v>
      </c>
      <c r="S143" s="49">
        <v>135221370</v>
      </c>
      <c r="T143" s="49">
        <v>137328370</v>
      </c>
      <c r="U143" s="49">
        <v>137328370</v>
      </c>
      <c r="V143" s="49">
        <v>137328370</v>
      </c>
      <c r="W143" s="49">
        <v>137328370</v>
      </c>
      <c r="X143" s="49">
        <v>137328370</v>
      </c>
      <c r="Y143" s="49">
        <v>137328370</v>
      </c>
      <c r="Z143" s="49">
        <v>137328370</v>
      </c>
      <c r="AA143" s="49">
        <v>137328370</v>
      </c>
      <c r="AB143" s="49">
        <v>137328370</v>
      </c>
      <c r="AC143" s="50">
        <v>137328370</v>
      </c>
      <c r="AD143" s="50">
        <v>136565000</v>
      </c>
      <c r="AE143" s="50">
        <v>135800000</v>
      </c>
      <c r="AF143" s="50">
        <v>136299612.5</v>
      </c>
      <c r="AG143" s="50">
        <v>137139887.5</v>
      </c>
      <c r="AH143" s="50">
        <v>137684300</v>
      </c>
      <c r="AI143" s="50">
        <v>137888050</v>
      </c>
      <c r="AJ143" s="49">
        <v>137888050</v>
      </c>
      <c r="AK143" s="50">
        <v>137888050</v>
      </c>
      <c r="AL143" s="49">
        <v>137888050</v>
      </c>
      <c r="AM143" s="50">
        <v>137888050</v>
      </c>
      <c r="AN143" s="49">
        <v>138308325</v>
      </c>
      <c r="AO143" s="49">
        <v>139011650</v>
      </c>
      <c r="AP143" s="49">
        <v>139715205</v>
      </c>
      <c r="AQ143" s="49">
        <v>139787350</v>
      </c>
      <c r="AR143" s="49">
        <v>141310475</v>
      </c>
      <c r="AS143" s="51">
        <v>142425485</v>
      </c>
      <c r="AT143" s="50">
        <v>141704525</v>
      </c>
      <c r="AU143" s="50">
        <v>141312745</v>
      </c>
      <c r="AV143" s="49">
        <v>143235665</v>
      </c>
      <c r="AW143" s="49">
        <v>144368735</v>
      </c>
      <c r="AX143" s="49">
        <v>144368735</v>
      </c>
      <c r="AY143" s="49">
        <v>144368735</v>
      </c>
      <c r="AZ143" s="49">
        <v>144368735</v>
      </c>
      <c r="BA143" s="49">
        <v>144368735</v>
      </c>
      <c r="BB143" s="49">
        <v>144368735</v>
      </c>
      <c r="BC143" s="49">
        <v>144368735</v>
      </c>
      <c r="BD143" s="49">
        <v>144368735</v>
      </c>
      <c r="BE143" s="49">
        <v>144368735</v>
      </c>
      <c r="BF143" s="49">
        <v>144368735</v>
      </c>
      <c r="BG143" s="49">
        <v>144368735</v>
      </c>
      <c r="BH143" s="49">
        <v>145590258.02197802</v>
      </c>
      <c r="BI143" s="50">
        <v>146720440</v>
      </c>
      <c r="BJ143" s="49">
        <v>146720440</v>
      </c>
      <c r="BK143" s="49">
        <v>146720440</v>
      </c>
      <c r="BL143" s="49">
        <v>148073553.84615386</v>
      </c>
      <c r="BM143" s="49">
        <v>149194610</v>
      </c>
      <c r="BN143" s="41">
        <v>149194610</v>
      </c>
      <c r="BO143" s="41">
        <v>149194610</v>
      </c>
      <c r="BP143" s="43">
        <v>149194610</v>
      </c>
      <c r="BQ143" s="41">
        <v>149416257.28260869</v>
      </c>
      <c r="BR143" s="41">
        <v>149981110</v>
      </c>
      <c r="BS143" s="41">
        <v>149981110</v>
      </c>
      <c r="BT143" s="41">
        <v>149981110</v>
      </c>
      <c r="BU143" s="41">
        <v>150386710.54347825</v>
      </c>
      <c r="BV143" s="41">
        <v>151364980</v>
      </c>
      <c r="BW143" s="42">
        <v>151364980</v>
      </c>
      <c r="BX143" s="42">
        <v>151364980</v>
      </c>
      <c r="BY143" s="42">
        <v>151917677.63043478</v>
      </c>
      <c r="BZ143" s="41">
        <v>153786322</v>
      </c>
      <c r="CA143" s="41">
        <v>153786322</v>
      </c>
      <c r="CB143" s="41">
        <v>153786322</v>
      </c>
      <c r="CC143" s="393">
        <v>154065551.73913044</v>
      </c>
      <c r="CD143" s="393">
        <v>154954010</v>
      </c>
      <c r="CE143" s="268">
        <v>154954010</v>
      </c>
    </row>
    <row r="144" spans="1:84" ht="15" x14ac:dyDescent="0.2">
      <c r="A144" s="112" t="s">
        <v>212</v>
      </c>
      <c r="B144" s="113"/>
      <c r="C144" s="114">
        <v>110015900</v>
      </c>
      <c r="D144" s="114">
        <v>110461405</v>
      </c>
      <c r="E144" s="114">
        <v>127196390</v>
      </c>
      <c r="F144" s="114">
        <v>114735050</v>
      </c>
      <c r="G144" s="114">
        <v>133146290</v>
      </c>
      <c r="H144" s="114">
        <v>133122350</v>
      </c>
      <c r="I144" s="114">
        <v>133377230</v>
      </c>
      <c r="J144" s="114">
        <v>133517520</v>
      </c>
      <c r="K144" s="114">
        <v>133535020</v>
      </c>
      <c r="L144" s="114">
        <v>133500250</v>
      </c>
      <c r="M144" s="114">
        <v>133803365</v>
      </c>
      <c r="N144" s="114">
        <v>134693780</v>
      </c>
      <c r="O144" s="114">
        <v>135412700</v>
      </c>
      <c r="P144" s="114">
        <v>135583485</v>
      </c>
      <c r="Q144" s="114">
        <v>135474195</v>
      </c>
      <c r="R144" s="114">
        <v>135655650</v>
      </c>
      <c r="S144" s="114">
        <v>135221370</v>
      </c>
      <c r="T144" s="114">
        <v>137328370</v>
      </c>
      <c r="U144" s="114">
        <v>137435230</v>
      </c>
      <c r="V144" s="114">
        <v>137717385</v>
      </c>
      <c r="W144" s="114">
        <v>138075025</v>
      </c>
      <c r="X144" s="114">
        <v>138281645</v>
      </c>
      <c r="Y144" s="114">
        <v>138280925</v>
      </c>
      <c r="Z144" s="114">
        <v>138235875</v>
      </c>
      <c r="AA144" s="114">
        <v>138260005</v>
      </c>
      <c r="AB144" s="114">
        <v>138334905</v>
      </c>
      <c r="AC144" s="115">
        <v>138340000</v>
      </c>
      <c r="AD144" s="115">
        <v>137680000</v>
      </c>
      <c r="AE144" s="115">
        <v>136985000</v>
      </c>
      <c r="AF144" s="115">
        <v>137065000</v>
      </c>
      <c r="AG144" s="115">
        <v>137580000</v>
      </c>
      <c r="AH144" s="115">
        <v>137930000</v>
      </c>
      <c r="AI144" s="115">
        <v>137895000</v>
      </c>
      <c r="AJ144" s="114">
        <v>138075695</v>
      </c>
      <c r="AK144" s="116">
        <v>138365000</v>
      </c>
      <c r="AL144" s="114">
        <v>138699850</v>
      </c>
      <c r="AM144" s="115">
        <v>139003000</v>
      </c>
      <c r="AN144" s="114">
        <v>139806660</v>
      </c>
      <c r="AO144" s="114">
        <v>141654230</v>
      </c>
      <c r="AP144" s="114">
        <v>142059090</v>
      </c>
      <c r="AQ144" s="114">
        <v>142349395</v>
      </c>
      <c r="AR144" s="114">
        <v>142499035</v>
      </c>
      <c r="AS144" s="116">
        <v>143177410</v>
      </c>
      <c r="AT144" s="115">
        <v>142447975</v>
      </c>
      <c r="AU144" s="115">
        <v>142243180</v>
      </c>
      <c r="AV144" s="114">
        <v>143235665</v>
      </c>
      <c r="AW144" s="114">
        <v>144368735</v>
      </c>
      <c r="AX144" s="114">
        <v>144368735</v>
      </c>
      <c r="AY144" s="114">
        <v>144368735</v>
      </c>
      <c r="AZ144" s="114">
        <v>144368735</v>
      </c>
      <c r="BA144" s="114">
        <v>144368735</v>
      </c>
      <c r="BB144" s="114">
        <v>144999351.05805781</v>
      </c>
      <c r="BC144" s="114">
        <v>145631617.36662787</v>
      </c>
      <c r="BD144" s="114">
        <v>145796835.98360655</v>
      </c>
      <c r="BE144" s="114">
        <v>145794149.4922426</v>
      </c>
      <c r="BF144" s="114">
        <v>145564951.98867422</v>
      </c>
      <c r="BG144" s="114">
        <v>146209172.35725489</v>
      </c>
      <c r="BH144" s="114">
        <v>147060590.64035782</v>
      </c>
      <c r="BI144" s="115">
        <v>148168390.10583609</v>
      </c>
      <c r="BJ144" s="114">
        <v>148304625.04843402</v>
      </c>
      <c r="BK144" s="114">
        <v>148062341.65038735</v>
      </c>
      <c r="BL144" s="114">
        <v>148109198.34875873</v>
      </c>
      <c r="BM144" s="114">
        <v>149194610</v>
      </c>
      <c r="BN144" s="114">
        <v>149459608.80882767</v>
      </c>
      <c r="BO144" s="114">
        <v>149622262.98878318</v>
      </c>
      <c r="BP144" s="116">
        <v>149480204.55966979</v>
      </c>
      <c r="BQ144" s="114">
        <v>149416257.28260869</v>
      </c>
      <c r="BR144" s="114">
        <v>149981110</v>
      </c>
      <c r="BS144" s="114">
        <v>150603867.63068792</v>
      </c>
      <c r="BT144" s="114">
        <v>150597731.07820314</v>
      </c>
      <c r="BU144" s="114">
        <v>150600385.79870433</v>
      </c>
      <c r="BV144" s="114">
        <v>152052933.50225455</v>
      </c>
      <c r="BW144" s="115">
        <v>151571959.31507373</v>
      </c>
      <c r="BX144" s="115">
        <v>151364980</v>
      </c>
      <c r="BY144" s="115">
        <v>151917677.63043478</v>
      </c>
      <c r="BZ144" s="114">
        <v>153786322</v>
      </c>
      <c r="CA144" s="114">
        <v>153991914.65277171</v>
      </c>
      <c r="CB144" s="114">
        <v>155358991.41152841</v>
      </c>
      <c r="CC144" s="409">
        <v>155888241.44196388</v>
      </c>
      <c r="CD144" s="409">
        <v>157129950.34578326</v>
      </c>
      <c r="CE144" s="458">
        <v>158331791.08405057</v>
      </c>
    </row>
    <row r="145" spans="1:86" s="31" customFormat="1" x14ac:dyDescent="0.2">
      <c r="A145" s="70"/>
      <c r="B145" s="71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8"/>
      <c r="AD145" s="18"/>
      <c r="AE145" s="18"/>
      <c r="AF145" s="18"/>
      <c r="AG145" s="18"/>
      <c r="AH145" s="18"/>
      <c r="AI145" s="18"/>
      <c r="AJ145" s="17"/>
      <c r="AK145" s="20"/>
      <c r="AL145" s="17"/>
      <c r="AM145" s="18"/>
      <c r="AN145" s="17"/>
      <c r="AO145" s="17"/>
      <c r="AP145" s="17"/>
      <c r="AQ145" s="17"/>
      <c r="AR145" s="17"/>
      <c r="AS145" s="20"/>
      <c r="AT145" s="18"/>
      <c r="AU145" s="18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8"/>
      <c r="BJ145" s="17"/>
      <c r="BK145" s="17"/>
      <c r="BL145" s="17"/>
      <c r="BM145" s="17"/>
      <c r="BN145" s="17"/>
      <c r="BO145" s="17"/>
      <c r="BP145" s="20"/>
      <c r="BQ145" s="17"/>
      <c r="BR145" s="17"/>
      <c r="BS145" s="17"/>
      <c r="BT145" s="17"/>
      <c r="BU145" s="17"/>
      <c r="BV145" s="17"/>
      <c r="BW145" s="18"/>
      <c r="BX145" s="18"/>
      <c r="BY145" s="18"/>
      <c r="BZ145" s="17"/>
      <c r="CA145" s="17"/>
      <c r="CB145" s="17"/>
      <c r="CC145" s="419"/>
      <c r="CD145" s="419"/>
      <c r="CE145" s="385"/>
      <c r="CF145" s="356"/>
      <c r="CG145"/>
      <c r="CH145"/>
    </row>
    <row r="146" spans="1:86" x14ac:dyDescent="0.2">
      <c r="A146" s="304" t="s">
        <v>164</v>
      </c>
      <c r="B146" s="12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20"/>
      <c r="AD146" s="220"/>
      <c r="AE146" s="220"/>
      <c r="AF146" s="220"/>
      <c r="AG146" s="220"/>
      <c r="AH146" s="220"/>
      <c r="AI146" s="220"/>
      <c r="AJ146" s="219"/>
      <c r="AK146" s="221"/>
      <c r="AL146" s="219"/>
      <c r="AM146" s="220"/>
      <c r="AN146" s="219"/>
      <c r="AO146" s="219"/>
      <c r="AP146" s="219"/>
      <c r="AQ146" s="219"/>
      <c r="AR146" s="219"/>
      <c r="AS146" s="220"/>
      <c r="AT146" s="220"/>
      <c r="AU146" s="220"/>
      <c r="AV146" s="219"/>
      <c r="AW146" s="219"/>
      <c r="AX146" s="219"/>
      <c r="AY146" s="219"/>
      <c r="AZ146" s="219"/>
      <c r="BA146" s="219"/>
      <c r="BB146" s="219"/>
      <c r="BC146" s="219"/>
      <c r="BD146" s="219"/>
      <c r="BE146" s="219"/>
      <c r="BF146" s="219"/>
      <c r="BG146" s="219"/>
      <c r="BH146" s="219"/>
      <c r="BI146" s="220"/>
      <c r="BJ146" s="219"/>
      <c r="BK146" s="219"/>
      <c r="BL146" s="219"/>
      <c r="BM146" s="219"/>
      <c r="BN146" s="219"/>
      <c r="BO146" s="219"/>
      <c r="BP146" s="221"/>
      <c r="BQ146" s="219"/>
      <c r="BR146" s="221"/>
      <c r="BS146" s="219"/>
      <c r="BT146" s="219"/>
      <c r="BU146" s="219"/>
      <c r="BV146" s="219"/>
      <c r="BW146" s="220"/>
      <c r="BX146" s="220"/>
      <c r="BY146" s="220"/>
      <c r="BZ146" s="219"/>
      <c r="CA146" s="219"/>
      <c r="CB146" s="219"/>
      <c r="CC146" s="405"/>
      <c r="CD146" s="405"/>
      <c r="CE146" s="386"/>
    </row>
    <row r="147" spans="1:86" x14ac:dyDescent="0.2">
      <c r="A147" s="39" t="s">
        <v>173</v>
      </c>
      <c r="B147" s="40"/>
      <c r="C147" s="217">
        <v>6.2199999999999998E-2</v>
      </c>
      <c r="D147" s="217">
        <v>5.6599999999999998E-2</v>
      </c>
      <c r="E147" s="217">
        <v>4.9099999999999998E-2</v>
      </c>
      <c r="F147" s="217">
        <v>5.3900000000000003E-2</v>
      </c>
      <c r="G147" s="217">
        <v>4.9799999999999997E-2</v>
      </c>
      <c r="H147" s="217">
        <v>4.1700000000000001E-2</v>
      </c>
      <c r="I147" s="217">
        <v>0.05</v>
      </c>
      <c r="J147" s="217">
        <v>6.59E-2</v>
      </c>
      <c r="K147" s="217">
        <v>5.5899999999999998E-2</v>
      </c>
      <c r="L147" s="217">
        <v>6.2899999999999998E-2</v>
      </c>
      <c r="M147" s="217">
        <v>7.3700000000000002E-2</v>
      </c>
      <c r="N147" s="217">
        <v>7.8799999999999995E-2</v>
      </c>
      <c r="O147" s="217">
        <v>9.5100000000000004E-2</v>
      </c>
      <c r="P147" s="217">
        <v>7.8399999999999997E-2</v>
      </c>
      <c r="Q147" s="217">
        <v>7.7799999999999994E-2</v>
      </c>
      <c r="R147" s="217">
        <v>8.2199999999999995E-2</v>
      </c>
      <c r="S147" s="217">
        <v>8.9800000000000005E-2</v>
      </c>
      <c r="T147" s="217">
        <v>0.09</v>
      </c>
      <c r="U147" s="217">
        <v>0.1019</v>
      </c>
      <c r="V147" s="217">
        <v>9.7500000000000003E-2</v>
      </c>
      <c r="W147" s="217">
        <v>0.1077</v>
      </c>
      <c r="X147" s="217">
        <v>9.7799999999999998E-2</v>
      </c>
      <c r="Y147" s="217">
        <v>9.7199999999999995E-2</v>
      </c>
      <c r="Z147" s="217">
        <v>9.7699999999999995E-2</v>
      </c>
      <c r="AA147" s="217">
        <v>9.5000000000000001E-2</v>
      </c>
      <c r="AB147" s="217">
        <v>8.2000000000000003E-2</v>
      </c>
      <c r="AC147" s="284">
        <v>7.6999999999999999E-2</v>
      </c>
      <c r="AD147" s="284">
        <v>8.5000000000000006E-2</v>
      </c>
      <c r="AE147" s="284">
        <v>8.5999999999999993E-2</v>
      </c>
      <c r="AF147" s="284">
        <v>8.5000000000000006E-2</v>
      </c>
      <c r="AG147" s="284">
        <v>8.8999999999999996E-2</v>
      </c>
      <c r="AH147" s="284">
        <v>9.9000000000000005E-2</v>
      </c>
      <c r="AI147" s="284">
        <v>0.108</v>
      </c>
      <c r="AJ147" s="217">
        <v>0.124</v>
      </c>
      <c r="AK147" s="285">
        <v>0.125</v>
      </c>
      <c r="AL147" s="217">
        <v>0.11</v>
      </c>
      <c r="AM147" s="284">
        <v>9.8000000000000004E-2</v>
      </c>
      <c r="AN147" s="217">
        <v>8.6999999999999994E-2</v>
      </c>
      <c r="AO147" s="217">
        <v>8.5999999999999993E-2</v>
      </c>
      <c r="AP147" s="217">
        <v>9.4E-2</v>
      </c>
      <c r="AQ147" s="217">
        <v>8.5999999999999993E-2</v>
      </c>
      <c r="AR147" s="217">
        <v>7.3999999999999996E-2</v>
      </c>
      <c r="AS147" s="285">
        <v>6.2E-2</v>
      </c>
      <c r="AT147" s="284">
        <v>6.2E-2</v>
      </c>
      <c r="AU147" s="284">
        <v>6.6000000000000003E-2</v>
      </c>
      <c r="AV147" s="217">
        <v>5.6000000000000001E-2</v>
      </c>
      <c r="AW147" s="217">
        <v>6.3E-2</v>
      </c>
      <c r="AX147" s="217">
        <v>6.9000000000000006E-2</v>
      </c>
      <c r="AY147" s="217">
        <v>7.3999999999999996E-2</v>
      </c>
      <c r="AZ147" s="217">
        <v>6.2E-2</v>
      </c>
      <c r="BA147" s="217">
        <v>0.08</v>
      </c>
      <c r="BB147" s="217">
        <v>7.6999999999999999E-2</v>
      </c>
      <c r="BC147" s="217">
        <v>7.4999999999999997E-2</v>
      </c>
      <c r="BD147" s="217">
        <v>7.3999999999999996E-2</v>
      </c>
      <c r="BE147" s="217">
        <v>0.08</v>
      </c>
      <c r="BF147" s="217">
        <v>7.4999999999999997E-2</v>
      </c>
      <c r="BG147" s="217">
        <v>9.5000000000000001E-2</v>
      </c>
      <c r="BH147" s="217">
        <v>0.10299999999999999</v>
      </c>
      <c r="BI147" s="284">
        <v>0.108</v>
      </c>
      <c r="BJ147" s="217">
        <v>0.13107425719565211</v>
      </c>
      <c r="BK147" s="217">
        <v>0.11270944938492827</v>
      </c>
      <c r="BL147" s="217">
        <v>0.13043124532453723</v>
      </c>
      <c r="BM147" s="217">
        <v>0.152</v>
      </c>
      <c r="BN147" s="217">
        <v>0.14580000000000001</v>
      </c>
      <c r="BO147" s="217">
        <v>0.151</v>
      </c>
      <c r="BP147" s="285">
        <v>0.129</v>
      </c>
      <c r="BQ147" s="217">
        <v>0.14299999999999999</v>
      </c>
      <c r="BR147" s="285">
        <v>0.14352899026637769</v>
      </c>
      <c r="BS147" s="217">
        <v>0.12</v>
      </c>
      <c r="BT147" s="217">
        <v>0.109</v>
      </c>
      <c r="BU147" s="217">
        <v>0.13200000000000001</v>
      </c>
      <c r="BV147" s="217">
        <v>0.11700000000000001</v>
      </c>
      <c r="BW147" s="284">
        <v>0.1317080001324912</v>
      </c>
      <c r="BX147" s="284">
        <v>0.13300000000000001</v>
      </c>
      <c r="BY147" s="284">
        <v>0.13600000000000001</v>
      </c>
      <c r="BZ147" s="217">
        <v>0.14499999999999999</v>
      </c>
      <c r="CA147" s="217">
        <v>0.16600000000000001</v>
      </c>
      <c r="CB147" s="217">
        <v>0.17499999999999999</v>
      </c>
      <c r="CC147" s="217">
        <v>0.19907433330489485</v>
      </c>
      <c r="CD147" s="217">
        <v>0.18268989480426487</v>
      </c>
      <c r="CE147" s="352">
        <v>0.20739521370492456</v>
      </c>
    </row>
    <row r="148" spans="1:86" x14ac:dyDescent="0.2">
      <c r="A148" s="112" t="s">
        <v>174</v>
      </c>
      <c r="B148" s="113"/>
      <c r="C148" s="280">
        <v>8.3999999999999995E-3</v>
      </c>
      <c r="D148" s="280">
        <v>6.3E-3</v>
      </c>
      <c r="E148" s="280">
        <v>7.4000000000000003E-3</v>
      </c>
      <c r="F148" s="280">
        <v>8.9999999999999993E-3</v>
      </c>
      <c r="G148" s="280">
        <v>6.4000000000000003E-3</v>
      </c>
      <c r="H148" s="280">
        <v>5.1000000000000004E-3</v>
      </c>
      <c r="I148" s="280">
        <v>9.2999999999999992E-3</v>
      </c>
      <c r="J148" s="280">
        <v>1.24E-2</v>
      </c>
      <c r="K148" s="280">
        <v>1.18E-2</v>
      </c>
      <c r="L148" s="280">
        <v>1.3599999999999999E-2</v>
      </c>
      <c r="M148" s="280">
        <v>1.54E-2</v>
      </c>
      <c r="N148" s="280">
        <v>1.83E-2</v>
      </c>
      <c r="O148" s="280">
        <v>1.9099999999999999E-2</v>
      </c>
      <c r="P148" s="280">
        <v>1.5699999999999999E-2</v>
      </c>
      <c r="Q148" s="280">
        <v>1.46E-2</v>
      </c>
      <c r="R148" s="280">
        <v>1.6E-2</v>
      </c>
      <c r="S148" s="280">
        <v>1.7299999999999999E-2</v>
      </c>
      <c r="T148" s="280">
        <v>1.8800000000000001E-2</v>
      </c>
      <c r="U148" s="280">
        <v>2.5000000000000001E-2</v>
      </c>
      <c r="V148" s="280">
        <v>2.0500000000000001E-2</v>
      </c>
      <c r="W148" s="280">
        <v>2.53E-2</v>
      </c>
      <c r="X148" s="280">
        <v>2.4799999999999999E-2</v>
      </c>
      <c r="Y148" s="280">
        <v>2.7199999999999998E-2</v>
      </c>
      <c r="Z148" s="280">
        <v>3.0700000000000002E-2</v>
      </c>
      <c r="AA148" s="280">
        <v>2.6800000000000001E-2</v>
      </c>
      <c r="AB148" s="280">
        <v>2.3400000000000001E-2</v>
      </c>
      <c r="AC148" s="281">
        <v>2.9000000000000001E-2</v>
      </c>
      <c r="AD148" s="281">
        <v>3.4000000000000002E-2</v>
      </c>
      <c r="AE148" s="281">
        <v>3.5000000000000003E-2</v>
      </c>
      <c r="AF148" s="281">
        <v>3.5999999999999997E-2</v>
      </c>
      <c r="AG148" s="281">
        <v>3.9E-2</v>
      </c>
      <c r="AH148" s="281">
        <v>4.3999999999999997E-2</v>
      </c>
      <c r="AI148" s="281">
        <v>4.8000000000000001E-2</v>
      </c>
      <c r="AJ148" s="280">
        <v>5.5E-2</v>
      </c>
      <c r="AK148" s="282">
        <v>6.2E-2</v>
      </c>
      <c r="AL148" s="280">
        <v>6.2E-2</v>
      </c>
      <c r="AM148" s="281">
        <v>5.7000000000000002E-2</v>
      </c>
      <c r="AN148" s="280">
        <v>5.2999999999999999E-2</v>
      </c>
      <c r="AO148" s="280">
        <v>5.6000000000000001E-2</v>
      </c>
      <c r="AP148" s="280">
        <v>5.5E-2</v>
      </c>
      <c r="AQ148" s="280">
        <v>5.0999999999999997E-2</v>
      </c>
      <c r="AR148" s="280">
        <v>4.2999999999999997E-2</v>
      </c>
      <c r="AS148" s="282">
        <v>4.2999999999999997E-2</v>
      </c>
      <c r="AT148" s="281">
        <v>4.7E-2</v>
      </c>
      <c r="AU148" s="281">
        <v>4.2999999999999997E-2</v>
      </c>
      <c r="AV148" s="280">
        <v>3.6999999999999998E-2</v>
      </c>
      <c r="AW148" s="280">
        <v>4.2999999999999997E-2</v>
      </c>
      <c r="AX148" s="280">
        <v>4.1000000000000002E-2</v>
      </c>
      <c r="AY148" s="280">
        <v>4.1000000000000002E-2</v>
      </c>
      <c r="AZ148" s="280">
        <v>3.3000000000000002E-2</v>
      </c>
      <c r="BA148" s="280">
        <v>4.5999999999999999E-2</v>
      </c>
      <c r="BB148" s="280">
        <v>4.2999999999999997E-2</v>
      </c>
      <c r="BC148" s="280">
        <v>4.1000000000000002E-2</v>
      </c>
      <c r="BD148" s="280">
        <v>4.2000000000000003E-2</v>
      </c>
      <c r="BE148" s="280">
        <v>4.2999999999999997E-2</v>
      </c>
      <c r="BF148" s="280">
        <v>4.2999999999999997E-2</v>
      </c>
      <c r="BG148" s="280">
        <v>4.9000000000000002E-2</v>
      </c>
      <c r="BH148" s="280">
        <v>5.2999999999999999E-2</v>
      </c>
      <c r="BI148" s="281">
        <v>6.6000000000000003E-2</v>
      </c>
      <c r="BJ148" s="280">
        <v>8.6999999999999994E-2</v>
      </c>
      <c r="BK148" s="280">
        <v>6.6004431749734846E-2</v>
      </c>
      <c r="BL148" s="280">
        <v>6.6341139228859078E-2</v>
      </c>
      <c r="BM148" s="280">
        <v>7.4999999999999997E-2</v>
      </c>
      <c r="BN148" s="280">
        <v>6.4500000000000002E-2</v>
      </c>
      <c r="BO148" s="280">
        <v>6.5000000000000002E-2</v>
      </c>
      <c r="BP148" s="282">
        <v>5.2999999999999999E-2</v>
      </c>
      <c r="BQ148" s="280">
        <v>6.3E-2</v>
      </c>
      <c r="BR148" s="282">
        <v>5.5328741604911115E-2</v>
      </c>
      <c r="BS148" s="280">
        <v>5.6000000000000001E-2</v>
      </c>
      <c r="BT148" s="280">
        <v>4.8000000000000001E-2</v>
      </c>
      <c r="BU148" s="280">
        <v>6.0999999999999999E-2</v>
      </c>
      <c r="BV148" s="280">
        <v>5.6000000000000001E-2</v>
      </c>
      <c r="BW148" s="281">
        <v>5.6834256493256012E-2</v>
      </c>
      <c r="BX148" s="281">
        <v>4.8000000000000001E-2</v>
      </c>
      <c r="BY148" s="281">
        <v>5.1999999999999998E-2</v>
      </c>
      <c r="BZ148" s="280">
        <v>0.06</v>
      </c>
      <c r="CA148" s="280">
        <v>7.5999999999999998E-2</v>
      </c>
      <c r="CB148" s="280">
        <v>8.4000000000000005E-2</v>
      </c>
      <c r="CC148" s="280">
        <v>9.5709772774082838E-2</v>
      </c>
      <c r="CD148" s="280">
        <v>8.3898503403590285E-2</v>
      </c>
      <c r="CE148" s="353">
        <v>9.2004642780004031E-2</v>
      </c>
    </row>
    <row r="149" spans="1:86" x14ac:dyDescent="0.2">
      <c r="A149" s="11"/>
      <c r="B149" s="12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7"/>
      <c r="AD149" s="287"/>
      <c r="AE149" s="287"/>
      <c r="AF149" s="287"/>
      <c r="AG149" s="287"/>
      <c r="AH149" s="287"/>
      <c r="AI149" s="287"/>
      <c r="AJ149" s="286"/>
      <c r="AK149" s="288"/>
      <c r="AL149" s="289"/>
      <c r="AM149" s="287"/>
      <c r="AN149" s="286"/>
      <c r="AO149" s="286"/>
      <c r="AP149" s="286"/>
      <c r="AQ149" s="286"/>
      <c r="AR149" s="286"/>
      <c r="AS149" s="288"/>
      <c r="AT149" s="287"/>
      <c r="AU149" s="287"/>
      <c r="AV149" s="286"/>
      <c r="AW149" s="286"/>
      <c r="AX149" s="286"/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7"/>
      <c r="BJ149" s="286"/>
      <c r="BK149" s="286"/>
      <c r="BL149" s="286"/>
      <c r="BM149" s="286"/>
      <c r="BN149" s="286"/>
      <c r="BO149" s="286"/>
      <c r="BP149" s="288"/>
      <c r="BQ149" s="286"/>
      <c r="BR149" s="288"/>
      <c r="BS149" s="286"/>
      <c r="BT149" s="286"/>
      <c r="BU149" s="286"/>
      <c r="BV149" s="286"/>
      <c r="BW149" s="287"/>
      <c r="BX149" s="287"/>
      <c r="BY149" s="287"/>
      <c r="BZ149" s="286"/>
      <c r="CA149" s="286"/>
      <c r="CB149" s="286"/>
      <c r="CC149" s="286"/>
      <c r="CD149" s="286"/>
      <c r="CE149" s="354"/>
    </row>
    <row r="150" spans="1:86" x14ac:dyDescent="0.2">
      <c r="A150" s="39" t="s">
        <v>95</v>
      </c>
      <c r="B150" s="40"/>
      <c r="C150" s="41">
        <v>29387</v>
      </c>
      <c r="D150" s="41">
        <v>34759</v>
      </c>
      <c r="E150" s="41">
        <v>62780</v>
      </c>
      <c r="F150" s="41">
        <v>7486</v>
      </c>
      <c r="G150" s="41">
        <v>35835</v>
      </c>
      <c r="H150" s="41">
        <v>55385</v>
      </c>
      <c r="I150" s="41">
        <v>27332</v>
      </c>
      <c r="J150" s="41">
        <v>17699</v>
      </c>
      <c r="K150" s="41">
        <v>50722</v>
      </c>
      <c r="L150" s="41">
        <v>43751</v>
      </c>
      <c r="M150" s="41">
        <v>47881</v>
      </c>
      <c r="N150" s="41">
        <v>26407</v>
      </c>
      <c r="O150" s="41">
        <v>28767</v>
      </c>
      <c r="P150" s="41">
        <v>40602</v>
      </c>
      <c r="Q150" s="41">
        <v>41648</v>
      </c>
      <c r="R150" s="41">
        <v>16641</v>
      </c>
      <c r="S150" s="41">
        <v>45939</v>
      </c>
      <c r="T150" s="41">
        <v>58292</v>
      </c>
      <c r="U150" s="41">
        <v>46772</v>
      </c>
      <c r="V150" s="41">
        <v>17959</v>
      </c>
      <c r="W150" s="41">
        <v>70120</v>
      </c>
      <c r="X150" s="41">
        <v>34248</v>
      </c>
      <c r="Y150" s="41">
        <v>47564</v>
      </c>
      <c r="Z150" s="41">
        <v>401</v>
      </c>
      <c r="AA150" s="41">
        <v>54923</v>
      </c>
      <c r="AB150" s="41">
        <v>80687</v>
      </c>
      <c r="AC150" s="42">
        <v>48824</v>
      </c>
      <c r="AD150" s="41">
        <v>45831</v>
      </c>
      <c r="AE150" s="41">
        <v>30550</v>
      </c>
      <c r="AF150" s="42">
        <v>80222</v>
      </c>
      <c r="AG150" s="42">
        <v>45444</v>
      </c>
      <c r="AH150" s="42">
        <v>65468</v>
      </c>
      <c r="AI150" s="42">
        <v>32279</v>
      </c>
      <c r="AJ150" s="41">
        <v>74327</v>
      </c>
      <c r="AK150" s="41">
        <v>38242</v>
      </c>
      <c r="AL150" s="44">
        <v>49637</v>
      </c>
      <c r="AM150" s="42">
        <v>30749</v>
      </c>
      <c r="AN150" s="41">
        <v>63313</v>
      </c>
      <c r="AO150" s="41">
        <v>35276</v>
      </c>
      <c r="AP150" s="41">
        <v>35819</v>
      </c>
      <c r="AQ150" s="41">
        <v>19533</v>
      </c>
      <c r="AR150" s="41">
        <v>53180</v>
      </c>
      <c r="AS150" s="42">
        <v>32986</v>
      </c>
      <c r="AT150" s="42">
        <v>31589</v>
      </c>
      <c r="AU150" s="42">
        <v>47781</v>
      </c>
      <c r="AV150" s="41">
        <v>84936</v>
      </c>
      <c r="AW150" s="41">
        <v>42360</v>
      </c>
      <c r="AX150" s="41">
        <v>18970</v>
      </c>
      <c r="AY150" s="41">
        <v>52525</v>
      </c>
      <c r="AZ150" s="41">
        <v>76094</v>
      </c>
      <c r="BA150" s="41">
        <v>28005</v>
      </c>
      <c r="BB150" s="41">
        <v>43638.434924178189</v>
      </c>
      <c r="BC150" s="41">
        <v>41867</v>
      </c>
      <c r="BD150" s="41">
        <v>84137</v>
      </c>
      <c r="BE150" s="41">
        <v>37844</v>
      </c>
      <c r="BF150" s="41">
        <v>76776</v>
      </c>
      <c r="BG150" s="41">
        <v>45862</v>
      </c>
      <c r="BH150" s="41">
        <v>119437</v>
      </c>
      <c r="BI150" s="42">
        <v>56601</v>
      </c>
      <c r="BJ150" s="41">
        <v>63067</v>
      </c>
      <c r="BK150" s="41">
        <v>42769</v>
      </c>
      <c r="BL150" s="41">
        <v>119428</v>
      </c>
      <c r="BM150" s="41">
        <v>53815</v>
      </c>
      <c r="BN150" s="41">
        <v>42560</v>
      </c>
      <c r="BO150" s="41">
        <v>49471</v>
      </c>
      <c r="BP150" s="41">
        <v>105517</v>
      </c>
      <c r="BQ150" s="41">
        <v>64147</v>
      </c>
      <c r="BR150" s="41">
        <v>36167</v>
      </c>
      <c r="BS150" s="41">
        <v>59719</v>
      </c>
      <c r="BT150" s="41">
        <v>86601</v>
      </c>
      <c r="BU150" s="41">
        <v>52430</v>
      </c>
      <c r="BV150" s="41">
        <v>38794</v>
      </c>
      <c r="BW150" s="42">
        <v>36465</v>
      </c>
      <c r="BX150" s="42">
        <v>111091</v>
      </c>
      <c r="BY150" s="42">
        <v>46772</v>
      </c>
      <c r="BZ150" s="41">
        <v>32798</v>
      </c>
      <c r="CA150" s="41">
        <v>81899</v>
      </c>
      <c r="CB150" s="41">
        <v>155068</v>
      </c>
      <c r="CC150" s="393">
        <v>78057</v>
      </c>
      <c r="CD150" s="393">
        <v>102115</v>
      </c>
      <c r="CE150" s="384" t="s">
        <v>218</v>
      </c>
    </row>
    <row r="151" spans="1:86" ht="15" x14ac:dyDescent="0.2">
      <c r="A151" s="47" t="s">
        <v>225</v>
      </c>
      <c r="B151" s="48"/>
      <c r="C151" s="134" t="s">
        <v>37</v>
      </c>
      <c r="D151" s="134" t="s">
        <v>37</v>
      </c>
      <c r="E151" s="134" t="s">
        <v>37</v>
      </c>
      <c r="F151" s="134" t="s">
        <v>37</v>
      </c>
      <c r="G151" s="134" t="s">
        <v>37</v>
      </c>
      <c r="H151" s="134" t="s">
        <v>37</v>
      </c>
      <c r="I151" s="134" t="s">
        <v>37</v>
      </c>
      <c r="J151" s="134" t="s">
        <v>37</v>
      </c>
      <c r="K151" s="153">
        <f t="shared" ref="K151:AP151" si="146">(K70+(K89-J89))/K150</f>
        <v>6.9350577658609672E-3</v>
      </c>
      <c r="L151" s="153">
        <f t="shared" si="146"/>
        <v>4.4492240177367373E-3</v>
      </c>
      <c r="M151" s="153">
        <f t="shared" si="146"/>
        <v>1.2810216996303334E-2</v>
      </c>
      <c r="N151" s="153">
        <f t="shared" si="146"/>
        <v>2.8068996856894009E-2</v>
      </c>
      <c r="O151" s="153">
        <f t="shared" si="146"/>
        <v>4.9035770153300663E-2</v>
      </c>
      <c r="P151" s="153">
        <f t="shared" si="146"/>
        <v>1.8122949608393675E-2</v>
      </c>
      <c r="Q151" s="153">
        <f t="shared" si="146"/>
        <v>8.2375384172109108E-3</v>
      </c>
      <c r="R151" s="153">
        <f t="shared" si="146"/>
        <v>8.4984255753860941E-2</v>
      </c>
      <c r="S151" s="153">
        <f t="shared" si="146"/>
        <v>3.7501425803783281E-2</v>
      </c>
      <c r="T151" s="153">
        <f t="shared" si="146"/>
        <v>1.3080233994373155E-2</v>
      </c>
      <c r="U151" s="153">
        <f t="shared" si="146"/>
        <v>3.4669096895578552E-2</v>
      </c>
      <c r="V151" s="153">
        <f t="shared" si="146"/>
        <v>0.13951456094437331</v>
      </c>
      <c r="W151" s="153">
        <f t="shared" si="146"/>
        <v>3.8285353679406726E-2</v>
      </c>
      <c r="X151" s="153">
        <f t="shared" si="146"/>
        <v>3.3754584209296903E-2</v>
      </c>
      <c r="Y151" s="153">
        <f t="shared" si="146"/>
        <v>1.3856404003027501E-2</v>
      </c>
      <c r="Z151" s="153">
        <f t="shared" si="146"/>
        <v>4.4149750623441397</v>
      </c>
      <c r="AA151" s="153">
        <f t="shared" si="146"/>
        <v>3.0517615570890153E-2</v>
      </c>
      <c r="AB151" s="153">
        <f t="shared" si="146"/>
        <v>1.3727899165912725E-2</v>
      </c>
      <c r="AC151" s="153">
        <f t="shared" si="146"/>
        <v>2.5675897099786987E-2</v>
      </c>
      <c r="AD151" s="153">
        <f t="shared" si="146"/>
        <v>2.1306539241997775E-2</v>
      </c>
      <c r="AE151" s="153">
        <f t="shared" si="146"/>
        <v>9.3551554828150571E-2</v>
      </c>
      <c r="AF151" s="153">
        <f t="shared" si="146"/>
        <v>1.7227194535164917E-2</v>
      </c>
      <c r="AG151" s="153">
        <f t="shared" si="146"/>
        <v>3.3227708828448199E-3</v>
      </c>
      <c r="AH151" s="153">
        <f t="shared" si="146"/>
        <v>2.0193071424207246E-2</v>
      </c>
      <c r="AI151" s="153">
        <f t="shared" si="146"/>
        <v>6.9487902351373962E-2</v>
      </c>
      <c r="AJ151" s="153">
        <f t="shared" si="146"/>
        <v>4.0321821141711622E-2</v>
      </c>
      <c r="AK151" s="153">
        <f t="shared" si="146"/>
        <v>9.1365514355943728E-2</v>
      </c>
      <c r="AL151" s="153">
        <f t="shared" si="146"/>
        <v>6.2131071579668393E-2</v>
      </c>
      <c r="AM151" s="153">
        <f t="shared" si="146"/>
        <v>0.16488341084262903</v>
      </c>
      <c r="AN151" s="153">
        <f t="shared" si="146"/>
        <v>4.2755832135580374E-2</v>
      </c>
      <c r="AO151" s="153">
        <f t="shared" si="146"/>
        <v>4.0310692822315454E-2</v>
      </c>
      <c r="AP151" s="153">
        <f t="shared" si="146"/>
        <v>3.0793712833970796E-2</v>
      </c>
      <c r="AQ151" s="153">
        <f t="shared" ref="AQ151:BV151" si="147">(AQ70+(AQ89-AP89))/AQ150</f>
        <v>0.24921926995341218</v>
      </c>
      <c r="AR151" s="153">
        <f t="shared" si="147"/>
        <v>2.068446784505453E-3</v>
      </c>
      <c r="AS151" s="153">
        <f t="shared" si="147"/>
        <v>9.6101376341478206E-3</v>
      </c>
      <c r="AT151" s="153">
        <f t="shared" si="147"/>
        <v>-4.4635790939884139E-3</v>
      </c>
      <c r="AU151" s="153">
        <f t="shared" si="147"/>
        <v>5.441493480672234E-2</v>
      </c>
      <c r="AV151" s="153">
        <f t="shared" si="147"/>
        <v>6.169351040783649E-3</v>
      </c>
      <c r="AW151" s="153">
        <f t="shared" si="147"/>
        <v>2.4881964117091596E-2</v>
      </c>
      <c r="AX151" s="153">
        <f t="shared" si="147"/>
        <v>7.9124934106483927E-2</v>
      </c>
      <c r="AY151" s="153">
        <f t="shared" si="147"/>
        <v>6.6596858638743456E-2</v>
      </c>
      <c r="AZ151" s="153">
        <f t="shared" si="147"/>
        <v>3.5495571267116985E-2</v>
      </c>
      <c r="BA151" s="153">
        <f t="shared" si="147"/>
        <v>8.8591322978039636E-2</v>
      </c>
      <c r="BB151" s="153">
        <f t="shared" si="147"/>
        <v>6.0565875118853696E-2</v>
      </c>
      <c r="BC151" s="153">
        <f t="shared" si="147"/>
        <v>0.15073924570664246</v>
      </c>
      <c r="BD151" s="153">
        <f t="shared" si="147"/>
        <v>5.3020668671333655E-2</v>
      </c>
      <c r="BE151" s="153">
        <f t="shared" si="147"/>
        <v>0.13185709755839764</v>
      </c>
      <c r="BF151" s="153">
        <f t="shared" si="147"/>
        <v>8.2873817898561783E-2</v>
      </c>
      <c r="BG151" s="153">
        <f t="shared" si="147"/>
        <v>0.22875757178099559</v>
      </c>
      <c r="BH151" s="153">
        <f t="shared" si="147"/>
        <v>3.597712601622613E-2</v>
      </c>
      <c r="BI151" s="153">
        <f t="shared" si="147"/>
        <v>9.0811116411370824E-2</v>
      </c>
      <c r="BJ151" s="153">
        <f t="shared" si="147"/>
        <v>0.10229140665958426</v>
      </c>
      <c r="BK151" s="153">
        <f t="shared" si="147"/>
        <v>0.11932425685917368</v>
      </c>
      <c r="BL151" s="153">
        <f t="shared" si="147"/>
        <v>7.8410495985782244E-2</v>
      </c>
      <c r="BM151" s="153">
        <f t="shared" si="147"/>
        <v>0.12669330112422186</v>
      </c>
      <c r="BN151" s="153">
        <f t="shared" si="147"/>
        <v>0.16163063909774436</v>
      </c>
      <c r="BO151" s="153">
        <f t="shared" si="147"/>
        <v>0.18587320106223834</v>
      </c>
      <c r="BP151" s="153">
        <f t="shared" si="147"/>
        <v>8.2658375935441591E-2</v>
      </c>
      <c r="BQ151" s="153">
        <f t="shared" si="147"/>
        <v>9.4454404220930183E-2</v>
      </c>
      <c r="BR151" s="153">
        <f t="shared" si="147"/>
        <v>0.11434760354273245</v>
      </c>
      <c r="BS151" s="153">
        <f t="shared" si="147"/>
        <v>0.13790344496039783</v>
      </c>
      <c r="BT151" s="153">
        <f t="shared" si="147"/>
        <v>5.7090668698975763E-2</v>
      </c>
      <c r="BU151" s="153">
        <f t="shared" si="147"/>
        <v>0.16464494613312988</v>
      </c>
      <c r="BV151" s="153">
        <f t="shared" si="147"/>
        <v>0.16945675663613577</v>
      </c>
      <c r="BW151" s="331">
        <f t="shared" ref="BW151:CD151" si="148">(BW70+(BW89-BV89))/BW150</f>
        <v>0.22805446303578761</v>
      </c>
      <c r="BX151" s="331">
        <f t="shared" si="148"/>
        <v>7.665692904393695E-2</v>
      </c>
      <c r="BY151" s="331">
        <f t="shared" si="148"/>
        <v>0.22634890290515725</v>
      </c>
      <c r="BZ151" s="350">
        <f t="shared" si="148"/>
        <v>0.24206033236294927</v>
      </c>
      <c r="CA151" s="350">
        <f t="shared" si="148"/>
        <v>0.26180595369858001</v>
      </c>
      <c r="CB151" s="350">
        <f t="shared" si="148"/>
        <v>0.13359239596306138</v>
      </c>
      <c r="CC151" s="350">
        <f t="shared" si="148"/>
        <v>0.22340127157602777</v>
      </c>
      <c r="CD151" s="350">
        <f t="shared" si="148"/>
        <v>0.19441454299838415</v>
      </c>
      <c r="CE151" s="384" t="s">
        <v>218</v>
      </c>
    </row>
    <row r="152" spans="1:86" ht="15" x14ac:dyDescent="0.2">
      <c r="A152" s="47" t="s">
        <v>226</v>
      </c>
      <c r="B152" s="40"/>
      <c r="C152" s="242" t="s">
        <v>37</v>
      </c>
      <c r="D152" s="242" t="s">
        <v>37</v>
      </c>
      <c r="E152" s="242" t="s">
        <v>37</v>
      </c>
      <c r="F152" s="242" t="s">
        <v>37</v>
      </c>
      <c r="G152" s="242" t="s">
        <v>37</v>
      </c>
      <c r="H152" s="242" t="s">
        <v>37</v>
      </c>
      <c r="I152" s="242" t="s">
        <v>37</v>
      </c>
      <c r="J152" s="242" t="s">
        <v>37</v>
      </c>
      <c r="K152" s="242" t="s">
        <v>37</v>
      </c>
      <c r="L152" s="242" t="s">
        <v>37</v>
      </c>
      <c r="M152" s="242" t="s">
        <v>37</v>
      </c>
      <c r="N152" s="153">
        <f t="shared" ref="N152:AS152" si="149">((N70+M70+L70+K70)+(N89-J89))/(N150+M150+L150+K150)</f>
        <v>1.1264462760945953E-2</v>
      </c>
      <c r="O152" s="153">
        <f t="shared" si="149"/>
        <v>2.016166914158822E-2</v>
      </c>
      <c r="P152" s="153">
        <f t="shared" si="149"/>
        <v>2.4370716359105371E-2</v>
      </c>
      <c r="Q152" s="153">
        <f t="shared" si="149"/>
        <v>2.3509248748399117E-2</v>
      </c>
      <c r="R152" s="153">
        <f t="shared" si="149"/>
        <v>3.0579673815977062E-2</v>
      </c>
      <c r="S152" s="153">
        <f t="shared" si="149"/>
        <v>2.9109341987157356E-2</v>
      </c>
      <c r="T152" s="153">
        <f t="shared" si="149"/>
        <v>2.6104793256214617E-2</v>
      </c>
      <c r="U152" s="153">
        <f t="shared" si="149"/>
        <v>3.2932982987759776E-2</v>
      </c>
      <c r="V152" s="153">
        <f t="shared" si="149"/>
        <v>3.9135048117328153E-2</v>
      </c>
      <c r="W152" s="153">
        <f t="shared" si="149"/>
        <v>3.9215125580528414E-2</v>
      </c>
      <c r="X152" s="153">
        <f t="shared" si="149"/>
        <v>4.7118439494024215E-2</v>
      </c>
      <c r="Y152" s="153">
        <f t="shared" si="149"/>
        <v>4.1233520315967304E-2</v>
      </c>
      <c r="Z152" s="153">
        <f t="shared" si="149"/>
        <v>4.1160267309118835E-2</v>
      </c>
      <c r="AA152" s="153">
        <f t="shared" si="149"/>
        <v>3.8367875685450942E-2</v>
      </c>
      <c r="AB152" s="153">
        <f t="shared" si="149"/>
        <v>2.8398491079940084E-2</v>
      </c>
      <c r="AC152" s="153">
        <f t="shared" si="149"/>
        <v>3.1421467795601482E-2</v>
      </c>
      <c r="AD152" s="153">
        <f t="shared" si="149"/>
        <v>2.1774399061950361E-2</v>
      </c>
      <c r="AE152" s="153">
        <f t="shared" si="149"/>
        <v>3.0092295960989262E-2</v>
      </c>
      <c r="AF152" s="153">
        <f t="shared" si="149"/>
        <v>3.1495859843155963E-2</v>
      </c>
      <c r="AG152" s="153">
        <f t="shared" si="149"/>
        <v>2.6565601073017663E-2</v>
      </c>
      <c r="AH152" s="153">
        <f t="shared" si="149"/>
        <v>2.5770917161364825E-2</v>
      </c>
      <c r="AI152" s="153">
        <f t="shared" si="149"/>
        <v>2.2818725857492627E-2</v>
      </c>
      <c r="AJ152" s="153">
        <f t="shared" si="149"/>
        <v>3.0861813734955269E-2</v>
      </c>
      <c r="AK152" s="153">
        <f t="shared" si="149"/>
        <v>4.7813765952186234E-2</v>
      </c>
      <c r="AL152" s="153">
        <f t="shared" si="149"/>
        <v>6.0765611743836288E-2</v>
      </c>
      <c r="AM152" s="153">
        <f t="shared" si="149"/>
        <v>7.5898525562955094E-2</v>
      </c>
      <c r="AN152" s="153">
        <f t="shared" si="149"/>
        <v>7.8899203587976321E-2</v>
      </c>
      <c r="AO152" s="153">
        <f t="shared" si="149"/>
        <v>6.8629696885039809E-2</v>
      </c>
      <c r="AP152" s="153">
        <f t="shared" si="149"/>
        <v>6.2377010965323901E-2</v>
      </c>
      <c r="AQ152" s="153">
        <f t="shared" si="149"/>
        <v>6.5609551711369937E-2</v>
      </c>
      <c r="AR152" s="153">
        <f t="shared" si="149"/>
        <v>5.2173731642189587E-2</v>
      </c>
      <c r="AS152" s="153">
        <f t="shared" si="149"/>
        <v>4.520979663364378E-2</v>
      </c>
      <c r="AT152" s="153">
        <f t="shared" ref="AT152:BY152" si="150">((AT70+AS70+AR70+AQ70)+(AT89-AP89))/(AT150+AS150+AR150+AQ150)</f>
        <v>3.7541518559524506E-2</v>
      </c>
      <c r="AU152" s="153">
        <f t="shared" si="150"/>
        <v>1.743427411560023E-2</v>
      </c>
      <c r="AV152" s="153">
        <f t="shared" si="150"/>
        <v>1.6726476491697586E-2</v>
      </c>
      <c r="AW152" s="153">
        <f t="shared" si="150"/>
        <v>1.9533933980432194E-2</v>
      </c>
      <c r="AX152" s="153">
        <f t="shared" si="150"/>
        <v>2.9266105634202025E-2</v>
      </c>
      <c r="AY152" s="153">
        <f t="shared" si="150"/>
        <v>3.3084998817853928E-2</v>
      </c>
      <c r="AZ152" s="153">
        <f t="shared" si="150"/>
        <v>4.6086054677834574E-2</v>
      </c>
      <c r="BA152" s="153">
        <f t="shared" si="150"/>
        <v>5.7980341013929862E-2</v>
      </c>
      <c r="BB152" s="153">
        <f t="shared" si="150"/>
        <v>5.6540808585928894E-2</v>
      </c>
      <c r="BC152" s="153">
        <f t="shared" si="150"/>
        <v>7.4555218107914573E-2</v>
      </c>
      <c r="BD152" s="153">
        <f t="shared" si="150"/>
        <v>8.0426037434273054E-2</v>
      </c>
      <c r="BE152" s="153">
        <f t="shared" si="150"/>
        <v>8.8704594142386919E-2</v>
      </c>
      <c r="BF152" s="153">
        <f t="shared" si="150"/>
        <v>9.1947271440005904E-2</v>
      </c>
      <c r="BG152" s="153">
        <f t="shared" si="150"/>
        <v>0.10753457417453265</v>
      </c>
      <c r="BH152" s="153">
        <f t="shared" si="150"/>
        <v>9.3387730021899193E-2</v>
      </c>
      <c r="BI152" s="153">
        <f t="shared" si="150"/>
        <v>8.8025150999745547E-2</v>
      </c>
      <c r="BJ152" s="153">
        <f t="shared" si="150"/>
        <v>9.2570339375506711E-2</v>
      </c>
      <c r="BK152" s="153">
        <f t="shared" si="150"/>
        <v>7.4471541488076234E-2</v>
      </c>
      <c r="BL152" s="153">
        <f t="shared" si="150"/>
        <v>9.2452060383516929E-2</v>
      </c>
      <c r="BM152" s="153">
        <f t="shared" si="150"/>
        <v>9.9387628592620722E-2</v>
      </c>
      <c r="BN152" s="153">
        <f t="shared" si="150"/>
        <v>0.10892435320220287</v>
      </c>
      <c r="BO152" s="153">
        <f t="shared" si="150"/>
        <v>0.12159782656551338</v>
      </c>
      <c r="BP152" s="153">
        <f t="shared" si="150"/>
        <v>0.12577108398344222</v>
      </c>
      <c r="BQ152" s="153">
        <f t="shared" si="150"/>
        <v>0.11790505608013142</v>
      </c>
      <c r="BR152" s="153">
        <f t="shared" si="150"/>
        <v>0.11011184177256737</v>
      </c>
      <c r="BS152" s="153">
        <f t="shared" si="150"/>
        <v>0.10224777302978724</v>
      </c>
      <c r="BT152" s="153">
        <f t="shared" si="150"/>
        <v>9.4772583157553339E-2</v>
      </c>
      <c r="BU152" s="153">
        <f t="shared" si="150"/>
        <v>0.11045394387243156</v>
      </c>
      <c r="BV152" s="153">
        <f t="shared" si="150"/>
        <v>0.11949703958968548</v>
      </c>
      <c r="BW152" s="331">
        <f t="shared" si="150"/>
        <v>0.13284033290075248</v>
      </c>
      <c r="BX152" s="331">
        <f t="shared" si="150"/>
        <v>0.13417430623051446</v>
      </c>
      <c r="BY152" s="331">
        <f t="shared" si="150"/>
        <v>0.14581462582957533</v>
      </c>
      <c r="BZ152" s="350">
        <f t="shared" ref="BZ152:CD152" si="151">((BZ70+BY70+BX70+BW70)+(BZ89-BV89))/(BZ150+BY150+BX150+BW150)</f>
        <v>0.15567476452075066</v>
      </c>
      <c r="CA152" s="350">
        <f t="shared" si="151"/>
        <v>0.17788166412496342</v>
      </c>
      <c r="CB152" s="350">
        <f t="shared" si="151"/>
        <v>0.19171040708252127</v>
      </c>
      <c r="CC152" s="350">
        <f t="shared" si="151"/>
        <v>0.1941644844069956</v>
      </c>
      <c r="CD152" s="350">
        <f t="shared" si="151"/>
        <v>0.1904598361046318</v>
      </c>
      <c r="CE152" s="384" t="s">
        <v>218</v>
      </c>
    </row>
    <row r="153" spans="1:86" x14ac:dyDescent="0.2">
      <c r="A153" s="39" t="s">
        <v>96</v>
      </c>
      <c r="B153" s="40"/>
      <c r="C153" s="41">
        <v>2326281</v>
      </c>
      <c r="D153" s="41">
        <v>2403363</v>
      </c>
      <c r="E153" s="41">
        <v>2510118</v>
      </c>
      <c r="F153" s="41">
        <v>2673473</v>
      </c>
      <c r="G153" s="41">
        <v>2649394</v>
      </c>
      <c r="H153" s="41">
        <v>2528310</v>
      </c>
      <c r="I153" s="41">
        <v>2381249</v>
      </c>
      <c r="J153" s="41">
        <v>2328033</v>
      </c>
      <c r="K153" s="41">
        <v>2348315</v>
      </c>
      <c r="L153" s="41">
        <v>2446274</v>
      </c>
      <c r="M153" s="41">
        <v>2520473</v>
      </c>
      <c r="N153" s="41">
        <v>2606353</v>
      </c>
      <c r="O153" s="41">
        <v>2711024</v>
      </c>
      <c r="P153" s="41">
        <v>2763155</v>
      </c>
      <c r="Q153" s="41">
        <v>2809385</v>
      </c>
      <c r="R153" s="41">
        <v>2877525</v>
      </c>
      <c r="S153" s="41">
        <v>2971494</v>
      </c>
      <c r="T153" s="41">
        <v>3122977</v>
      </c>
      <c r="U153" s="41">
        <v>3265965</v>
      </c>
      <c r="V153" s="41">
        <v>3332584</v>
      </c>
      <c r="W153" s="41">
        <v>3479333</v>
      </c>
      <c r="X153" s="41">
        <v>3428952</v>
      </c>
      <c r="Y153" s="41">
        <v>3552240</v>
      </c>
      <c r="Z153" s="41">
        <v>3644546</v>
      </c>
      <c r="AA153" s="41">
        <v>3763841</v>
      </c>
      <c r="AB153" s="41">
        <v>3892526</v>
      </c>
      <c r="AC153" s="42">
        <v>3910881</v>
      </c>
      <c r="AD153" s="41">
        <v>3750791</v>
      </c>
      <c r="AE153" s="41">
        <v>3675588</v>
      </c>
      <c r="AF153" s="42">
        <v>3297400</v>
      </c>
      <c r="AG153" s="42">
        <v>3187482</v>
      </c>
      <c r="AH153" s="42">
        <v>3109426</v>
      </c>
      <c r="AI153" s="42">
        <v>3105559</v>
      </c>
      <c r="AJ153" s="41">
        <v>3367265</v>
      </c>
      <c r="AK153" s="41">
        <v>3546901</v>
      </c>
      <c r="AL153" s="44">
        <v>3713129</v>
      </c>
      <c r="AM153" s="42">
        <v>3822564</v>
      </c>
      <c r="AN153" s="41">
        <v>3866335</v>
      </c>
      <c r="AO153" s="41">
        <v>4075235</v>
      </c>
      <c r="AP153" s="41">
        <v>4357620</v>
      </c>
      <c r="AQ153" s="41">
        <v>4345098</v>
      </c>
      <c r="AR153" s="41">
        <v>4307774</v>
      </c>
      <c r="AS153" s="42">
        <v>4160933</v>
      </c>
      <c r="AT153" s="42">
        <v>4265777</v>
      </c>
      <c r="AU153" s="42">
        <v>4523999</v>
      </c>
      <c r="AV153" s="41">
        <v>4541819</v>
      </c>
      <c r="AW153" s="41">
        <v>4864023</v>
      </c>
      <c r="AX153" s="41">
        <v>5017255.0199999996</v>
      </c>
      <c r="AY153" s="41">
        <v>5199521</v>
      </c>
      <c r="AZ153" s="41">
        <v>5026927</v>
      </c>
      <c r="BA153" s="41">
        <v>5127486</v>
      </c>
      <c r="BB153" s="41">
        <v>5320272.1883197799</v>
      </c>
      <c r="BC153" s="41">
        <v>5448660</v>
      </c>
      <c r="BD153" s="41">
        <v>5650352</v>
      </c>
      <c r="BE153" s="41">
        <v>6043822</v>
      </c>
      <c r="BF153" s="41">
        <v>6270705</v>
      </c>
      <c r="BG153" s="41">
        <v>6777827</v>
      </c>
      <c r="BH153" s="41">
        <v>6579294</v>
      </c>
      <c r="BI153" s="42">
        <v>6649133</v>
      </c>
      <c r="BJ153" s="41">
        <v>6792931</v>
      </c>
      <c r="BK153" s="41">
        <v>6756856</v>
      </c>
      <c r="BL153" s="41">
        <v>6863067</v>
      </c>
      <c r="BM153" s="41">
        <v>7152254</v>
      </c>
      <c r="BN153" s="41">
        <v>7227356</v>
      </c>
      <c r="BO153" s="41">
        <v>7710918</v>
      </c>
      <c r="BP153" s="49">
        <v>7835642</v>
      </c>
      <c r="BQ153" s="41">
        <v>7784676</v>
      </c>
      <c r="BR153" s="41">
        <v>7780980</v>
      </c>
      <c r="BS153" s="41">
        <v>7849871</v>
      </c>
      <c r="BT153" s="41">
        <v>8063116</v>
      </c>
      <c r="BU153" s="41">
        <v>8303847</v>
      </c>
      <c r="BV153" s="41">
        <v>7935535</v>
      </c>
      <c r="BW153" s="42">
        <v>8298297</v>
      </c>
      <c r="BX153" s="42">
        <v>8546068</v>
      </c>
      <c r="BY153" s="42">
        <v>8679026</v>
      </c>
      <c r="BZ153" s="41">
        <v>8996380</v>
      </c>
      <c r="CA153" s="41">
        <v>8418530</v>
      </c>
      <c r="CB153" s="41">
        <v>9046988</v>
      </c>
      <c r="CC153" s="393">
        <v>9546759</v>
      </c>
      <c r="CD153" s="393">
        <v>9894279</v>
      </c>
      <c r="CE153" s="384" t="s">
        <v>218</v>
      </c>
    </row>
    <row r="154" spans="1:86" x14ac:dyDescent="0.2">
      <c r="A154" s="13" t="s">
        <v>175</v>
      </c>
      <c r="B154" s="63"/>
      <c r="C154" s="243">
        <f t="shared" ref="C154:AH154" si="152">(C78)/C153</f>
        <v>2.512078291487572E-3</v>
      </c>
      <c r="D154" s="243">
        <f t="shared" si="152"/>
        <v>2.4313846888713857E-3</v>
      </c>
      <c r="E154" s="243">
        <f t="shared" si="152"/>
        <v>3.5703500791596254E-3</v>
      </c>
      <c r="F154" s="243">
        <f t="shared" si="152"/>
        <v>3.211702530753069E-3</v>
      </c>
      <c r="G154" s="243">
        <f t="shared" si="152"/>
        <v>3.3816034912134627E-3</v>
      </c>
      <c r="H154" s="243">
        <f t="shared" si="152"/>
        <v>2.6878428673699035E-3</v>
      </c>
      <c r="I154" s="243">
        <f t="shared" si="152"/>
        <v>2.2679694563651261E-3</v>
      </c>
      <c r="J154" s="243">
        <f t="shared" si="152"/>
        <v>2.9062732358175335E-3</v>
      </c>
      <c r="K154" s="243">
        <f t="shared" si="152"/>
        <v>2.7799081469053345E-3</v>
      </c>
      <c r="L154" s="243">
        <f t="shared" si="152"/>
        <v>3.2485731361245715E-3</v>
      </c>
      <c r="M154" s="243">
        <f t="shared" si="152"/>
        <v>3.7538588987067112E-3</v>
      </c>
      <c r="N154" s="243">
        <f t="shared" si="152"/>
        <v>4.4142907733526505E-3</v>
      </c>
      <c r="O154" s="243">
        <f t="shared" si="152"/>
        <v>5.3762342199847732E-3</v>
      </c>
      <c r="P154" s="243">
        <f t="shared" si="152"/>
        <v>5.5040705280738865E-3</v>
      </c>
      <c r="Q154" s="243">
        <f t="shared" si="152"/>
        <v>5.4771773893574575E-3</v>
      </c>
      <c r="R154" s="243">
        <f t="shared" si="152"/>
        <v>6.0128061441690342E-3</v>
      </c>
      <c r="S154" s="243">
        <f t="shared" si="152"/>
        <v>6.7939225184368533E-3</v>
      </c>
      <c r="T154" s="243">
        <f t="shared" si="152"/>
        <v>7.3886551197783392E-3</v>
      </c>
      <c r="U154" s="243">
        <f t="shared" si="152"/>
        <v>8.3868320695414666E-3</v>
      </c>
      <c r="V154" s="243">
        <f t="shared" si="152"/>
        <v>9.5629997623465756E-3</v>
      </c>
      <c r="W154" s="243">
        <f t="shared" si="152"/>
        <v>1.1144549831821213E-2</v>
      </c>
      <c r="X154" s="243">
        <f t="shared" si="152"/>
        <v>1.0731237999248751E-2</v>
      </c>
      <c r="Y154" s="243">
        <f t="shared" si="152"/>
        <v>1.1029434948089093E-2</v>
      </c>
      <c r="Z154" s="243">
        <f t="shared" si="152"/>
        <v>1.2491185459039341E-2</v>
      </c>
      <c r="AA154" s="243">
        <f t="shared" si="152"/>
        <v>1.2972147335660565E-2</v>
      </c>
      <c r="AB154" s="243">
        <f t="shared" si="152"/>
        <v>1.3330880769967883E-2</v>
      </c>
      <c r="AC154" s="243">
        <f t="shared" si="152"/>
        <v>1.3215692320988544E-2</v>
      </c>
      <c r="AD154" s="243">
        <f t="shared" si="152"/>
        <v>1.2847423383494308E-2</v>
      </c>
      <c r="AE154" s="243">
        <f t="shared" si="152"/>
        <v>1.2760135249108443E-2</v>
      </c>
      <c r="AF154" s="243">
        <f t="shared" si="152"/>
        <v>1.396281919087766E-2</v>
      </c>
      <c r="AG154" s="243">
        <f t="shared" si="152"/>
        <v>1.2719444376470204E-2</v>
      </c>
      <c r="AH154" s="243">
        <f t="shared" si="152"/>
        <v>1.1546215282177481E-2</v>
      </c>
      <c r="AI154" s="243">
        <f t="shared" ref="AI154:BN154" si="153">(AI78)/AI153</f>
        <v>1.2579699822157621E-2</v>
      </c>
      <c r="AJ154" s="244">
        <f t="shared" si="153"/>
        <v>1.4593446016277305E-2</v>
      </c>
      <c r="AK154" s="244">
        <f t="shared" si="153"/>
        <v>1.6300426766915684E-2</v>
      </c>
      <c r="AL154" s="245">
        <f t="shared" si="153"/>
        <v>1.7350057054306488E-2</v>
      </c>
      <c r="AM154" s="246">
        <f t="shared" si="153"/>
        <v>1.9549966985510248E-2</v>
      </c>
      <c r="AN154" s="245">
        <f t="shared" si="153"/>
        <v>1.8850927299367489E-2</v>
      </c>
      <c r="AO154" s="245">
        <f t="shared" si="153"/>
        <v>1.9262447441681277E-2</v>
      </c>
      <c r="AP154" s="245">
        <f t="shared" si="153"/>
        <v>1.9710071093853986E-2</v>
      </c>
      <c r="AQ154" s="245">
        <f t="shared" si="153"/>
        <v>2.0890898202986445E-2</v>
      </c>
      <c r="AR154" s="245">
        <f t="shared" si="153"/>
        <v>2.0487611467082535E-2</v>
      </c>
      <c r="AS154" s="246">
        <f t="shared" si="153"/>
        <v>1.7582114395978017E-2</v>
      </c>
      <c r="AT154" s="246">
        <f t="shared" si="153"/>
        <v>1.7999534434172251E-2</v>
      </c>
      <c r="AU154" s="246">
        <f t="shared" si="153"/>
        <v>1.885411557341193E-2</v>
      </c>
      <c r="AV154" s="247">
        <f t="shared" si="153"/>
        <v>1.7931802214046839E-2</v>
      </c>
      <c r="AW154" s="247">
        <f t="shared" si="153"/>
        <v>1.746763944167205E-2</v>
      </c>
      <c r="AX154" s="247">
        <f t="shared" si="153"/>
        <v>1.7672811058346404E-2</v>
      </c>
      <c r="AY154" s="247">
        <f t="shared" si="153"/>
        <v>1.8550362619941335E-2</v>
      </c>
      <c r="AZ154" s="247">
        <f t="shared" si="153"/>
        <v>1.9398531150342943E-2</v>
      </c>
      <c r="BA154" s="247">
        <f t="shared" si="153"/>
        <v>2.1097278471360038E-2</v>
      </c>
      <c r="BB154" s="247">
        <f t="shared" si="153"/>
        <v>2.1773510057308609E-2</v>
      </c>
      <c r="BC154" s="247">
        <f t="shared" si="153"/>
        <v>2.3109718719832032E-2</v>
      </c>
      <c r="BD154" s="247">
        <f t="shared" si="153"/>
        <v>2.3824533409599967E-2</v>
      </c>
      <c r="BE154" s="247">
        <f t="shared" si="153"/>
        <v>2.288568392649552E-2</v>
      </c>
      <c r="BF154" s="247">
        <f t="shared" si="153"/>
        <v>2.348630979179853E-2</v>
      </c>
      <c r="BG154" s="247">
        <f t="shared" si="153"/>
        <v>2.5678584006348936E-2</v>
      </c>
      <c r="BH154" s="247">
        <f t="shared" si="153"/>
        <v>2.6718672246596673E-2</v>
      </c>
      <c r="BI154" s="247">
        <f t="shared" si="153"/>
        <v>2.6561501469179793E-2</v>
      </c>
      <c r="BJ154" s="247">
        <f t="shared" si="153"/>
        <v>2.9175799718691619E-2</v>
      </c>
      <c r="BK154" s="247">
        <f t="shared" si="153"/>
        <v>2.8952310258707599E-2</v>
      </c>
      <c r="BL154" s="247">
        <f t="shared" si="153"/>
        <v>2.9995190197035816E-2</v>
      </c>
      <c r="BM154" s="247">
        <f t="shared" si="153"/>
        <v>3.2217535898473405E-2</v>
      </c>
      <c r="BN154" s="247">
        <f t="shared" si="153"/>
        <v>3.3088864032711274E-2</v>
      </c>
      <c r="BO154" s="247">
        <f t="shared" ref="BO154:CD154" si="154">(BO78)/BO153</f>
        <v>3.307663653952192E-2</v>
      </c>
      <c r="BP154" s="247">
        <f t="shared" si="154"/>
        <v>3.4502449208872209E-2</v>
      </c>
      <c r="BQ154" s="247">
        <f t="shared" si="154"/>
        <v>3.6093716302881391E-2</v>
      </c>
      <c r="BR154" s="247">
        <f t="shared" si="154"/>
        <v>3.6361872808074583E-2</v>
      </c>
      <c r="BS154" s="247">
        <f t="shared" si="154"/>
        <v>3.6780349638866679E-2</v>
      </c>
      <c r="BT154" s="247">
        <f t="shared" si="154"/>
        <v>3.8092345440646026E-2</v>
      </c>
      <c r="BU154" s="247">
        <f t="shared" si="154"/>
        <v>3.9858978979771552E-2</v>
      </c>
      <c r="BV154" s="247">
        <f t="shared" si="154"/>
        <v>3.7802026434438661E-2</v>
      </c>
      <c r="BW154" s="332">
        <f t="shared" si="154"/>
        <v>4.0450179778125435E-2</v>
      </c>
      <c r="BX154" s="332">
        <f t="shared" si="154"/>
        <v>4.204110500445242E-2</v>
      </c>
      <c r="BY154" s="332">
        <f t="shared" si="154"/>
        <v>4.3447783079573359E-2</v>
      </c>
      <c r="BZ154" s="247">
        <f t="shared" si="154"/>
        <v>4.5320309221295763E-2</v>
      </c>
      <c r="CA154" s="247">
        <f t="shared" si="154"/>
        <v>4.3732666633498306E-2</v>
      </c>
      <c r="CB154" s="247">
        <f t="shared" si="154"/>
        <v>4.9141195119028036E-2</v>
      </c>
      <c r="CC154" s="247">
        <f t="shared" si="154"/>
        <v>5.3860403558652896E-2</v>
      </c>
      <c r="CD154" s="247">
        <f t="shared" si="154"/>
        <v>5.7660506966401022E-2</v>
      </c>
      <c r="CE154" s="467" t="s">
        <v>218</v>
      </c>
    </row>
    <row r="155" spans="1:86" x14ac:dyDescent="0.2"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O155" s="250"/>
      <c r="AP155" s="250"/>
      <c r="AQ155" s="250"/>
      <c r="AR155" s="250"/>
      <c r="AS155" s="250"/>
      <c r="AT155" s="250"/>
      <c r="AU155" s="250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387"/>
      <c r="CD155" s="387"/>
      <c r="CE155" s="387"/>
    </row>
    <row r="156" spans="1:86" x14ac:dyDescent="0.2">
      <c r="A156" s="305" t="s">
        <v>165</v>
      </c>
      <c r="B156" s="251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  <c r="X156" s="250"/>
      <c r="Y156" s="250"/>
      <c r="Z156" s="250"/>
      <c r="AA156" s="250"/>
      <c r="AB156" s="250"/>
      <c r="AC156" s="250"/>
      <c r="AD156" s="250"/>
      <c r="AE156" s="250"/>
      <c r="AF156" s="250"/>
      <c r="AG156" s="250"/>
      <c r="AH156" s="250"/>
      <c r="AI156" s="250"/>
      <c r="AJ156" s="250"/>
      <c r="AK156" s="250"/>
      <c r="AL156" s="250"/>
      <c r="AM156" s="250"/>
      <c r="AN156" s="250"/>
      <c r="AO156" s="250"/>
      <c r="AP156" s="250"/>
      <c r="AQ156" s="250"/>
      <c r="AR156" s="250"/>
      <c r="AS156" s="250"/>
      <c r="AT156" s="250"/>
      <c r="AU156" s="250"/>
      <c r="AV156" s="250"/>
      <c r="AW156" s="250"/>
      <c r="AX156" s="250"/>
      <c r="AY156" s="250"/>
      <c r="AZ156" s="250"/>
      <c r="BA156" s="250"/>
      <c r="BB156" s="250"/>
      <c r="BC156" s="250"/>
      <c r="BD156" s="250"/>
      <c r="BE156" s="250"/>
      <c r="BF156" s="250"/>
      <c r="BG156" s="250"/>
      <c r="BH156" s="250"/>
      <c r="BI156" s="250"/>
      <c r="BJ156" s="250"/>
      <c r="BK156" s="250"/>
      <c r="BL156" s="250"/>
      <c r="BM156" s="250"/>
      <c r="BN156" s="250"/>
      <c r="BO156" s="250"/>
      <c r="BP156" s="250"/>
      <c r="BQ156" s="250"/>
      <c r="BR156" s="250"/>
      <c r="BS156" s="250"/>
      <c r="BT156" s="250"/>
      <c r="BU156" s="250"/>
      <c r="BV156" s="250"/>
      <c r="BW156" s="250"/>
      <c r="BX156" s="7"/>
      <c r="BY156" s="7"/>
      <c r="BZ156" s="7"/>
      <c r="CA156" s="7"/>
      <c r="CB156" s="7"/>
      <c r="CC156" s="388"/>
      <c r="CD156" s="388"/>
      <c r="CE156" s="388"/>
    </row>
    <row r="157" spans="1:86" x14ac:dyDescent="0.2">
      <c r="A157" s="314" t="s">
        <v>171</v>
      </c>
      <c r="B157" s="314"/>
      <c r="C157" s="314"/>
      <c r="D157" s="314"/>
      <c r="E157" s="314"/>
      <c r="F157" s="314"/>
      <c r="G157" s="314"/>
      <c r="H157" s="314"/>
      <c r="I157" s="314"/>
      <c r="J157" s="314"/>
      <c r="K157" s="314"/>
      <c r="L157" s="250"/>
      <c r="M157" s="250"/>
      <c r="N157" s="250"/>
      <c r="O157" s="250"/>
      <c r="P157" s="250"/>
      <c r="Q157" s="250"/>
      <c r="R157" s="250"/>
      <c r="S157" s="250"/>
      <c r="T157" s="250"/>
      <c r="U157" s="250"/>
      <c r="V157" s="250"/>
      <c r="W157" s="250"/>
      <c r="X157" s="250"/>
      <c r="Y157" s="250"/>
      <c r="Z157" s="250"/>
      <c r="AA157" s="250"/>
      <c r="AB157" s="250"/>
      <c r="AC157" s="250"/>
      <c r="AD157" s="250"/>
      <c r="AE157" s="250"/>
      <c r="AF157" s="250"/>
      <c r="AG157" s="250"/>
      <c r="AH157" s="250"/>
      <c r="AI157" s="250"/>
      <c r="AJ157" s="250"/>
      <c r="AK157" s="250"/>
      <c r="AL157" s="250"/>
      <c r="AM157" s="250"/>
      <c r="AN157" s="250"/>
      <c r="AO157" s="250"/>
      <c r="AP157" s="250"/>
      <c r="AQ157" s="250"/>
      <c r="AR157" s="250"/>
      <c r="AS157" s="250"/>
      <c r="AT157" s="250"/>
      <c r="AU157" s="250"/>
      <c r="AV157" s="250"/>
      <c r="AW157" s="250"/>
      <c r="AX157" s="250"/>
      <c r="AY157" s="250"/>
      <c r="AZ157" s="250"/>
      <c r="BA157" s="250"/>
      <c r="BB157" s="250"/>
      <c r="BC157" s="250"/>
      <c r="BD157" s="250"/>
      <c r="BE157" s="250"/>
      <c r="BF157" s="250"/>
      <c r="BG157" s="250"/>
      <c r="BH157" s="250"/>
      <c r="BI157" s="250"/>
      <c r="BJ157" s="250"/>
      <c r="BK157" s="250"/>
      <c r="BL157" s="250"/>
      <c r="BM157" s="250"/>
      <c r="BN157" s="250"/>
      <c r="BO157" s="250"/>
      <c r="BP157" s="250"/>
      <c r="BQ157" s="250"/>
      <c r="BR157" s="250"/>
      <c r="BS157" s="250"/>
      <c r="BT157" s="250"/>
      <c r="BU157" s="250"/>
      <c r="BV157" s="250"/>
      <c r="BW157" s="250"/>
      <c r="BX157" s="7"/>
      <c r="BY157" s="7"/>
      <c r="BZ157" s="7"/>
      <c r="CA157" s="7"/>
      <c r="CB157" s="7"/>
      <c r="CC157" s="388"/>
      <c r="CD157" s="388"/>
      <c r="CE157" s="388"/>
    </row>
    <row r="158" spans="1:86" x14ac:dyDescent="0.2">
      <c r="A158" s="313" t="s">
        <v>172</v>
      </c>
      <c r="B158" s="313"/>
      <c r="C158" s="313"/>
      <c r="D158" s="313"/>
      <c r="E158" s="313"/>
      <c r="F158" s="313"/>
      <c r="G158" s="313"/>
      <c r="H158" s="313"/>
      <c r="I158" s="313"/>
      <c r="J158" s="313"/>
      <c r="K158" s="313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  <c r="Y158" s="250"/>
      <c r="Z158" s="250"/>
      <c r="AA158" s="250"/>
      <c r="AB158" s="250"/>
      <c r="AC158" s="250"/>
      <c r="AD158" s="250"/>
      <c r="AE158" s="250"/>
      <c r="AF158" s="250"/>
      <c r="AG158" s="250"/>
      <c r="AH158" s="250"/>
      <c r="AI158" s="250"/>
      <c r="AJ158" s="250"/>
      <c r="AK158" s="250"/>
      <c r="AL158" s="250"/>
      <c r="AM158" s="250"/>
      <c r="AN158" s="250"/>
      <c r="AO158" s="250"/>
      <c r="AP158" s="250"/>
      <c r="AQ158" s="250"/>
      <c r="AR158" s="250"/>
      <c r="AS158" s="250"/>
      <c r="AT158" s="250"/>
      <c r="AU158" s="250"/>
      <c r="AV158" s="250"/>
      <c r="AW158" s="250"/>
      <c r="AX158" s="250"/>
      <c r="AY158" s="250"/>
      <c r="AZ158" s="250"/>
      <c r="BA158" s="250"/>
      <c r="BB158" s="250"/>
      <c r="BC158" s="250"/>
      <c r="BD158" s="250"/>
      <c r="BE158" s="250"/>
      <c r="BF158" s="250"/>
      <c r="BG158" s="250"/>
      <c r="BH158" s="250"/>
      <c r="BI158" s="250"/>
      <c r="BJ158" s="250"/>
      <c r="BK158" s="250"/>
      <c r="BL158" s="250"/>
      <c r="BM158" s="250"/>
      <c r="BN158" s="250"/>
      <c r="BO158" s="250"/>
      <c r="BP158" s="250"/>
      <c r="BQ158" s="250"/>
      <c r="BR158" s="250"/>
      <c r="BS158" s="250"/>
      <c r="BT158" s="250"/>
      <c r="BU158" s="250"/>
      <c r="BV158" s="250"/>
      <c r="BW158" s="250"/>
      <c r="BX158" s="7"/>
      <c r="BY158" s="7"/>
      <c r="BZ158" s="7"/>
      <c r="CA158" s="7"/>
      <c r="CB158" s="7"/>
      <c r="CC158" s="388"/>
      <c r="CD158" s="388"/>
      <c r="CE158" s="388"/>
    </row>
    <row r="159" spans="1:86" ht="15" x14ac:dyDescent="0.2">
      <c r="A159" s="252" t="s">
        <v>196</v>
      </c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  <c r="W159" s="250"/>
      <c r="X159" s="250"/>
      <c r="Y159" s="250"/>
      <c r="Z159" s="250"/>
      <c r="AA159" s="250"/>
      <c r="AB159" s="250"/>
      <c r="AC159" s="250"/>
      <c r="AD159" s="250"/>
      <c r="AE159" s="250"/>
      <c r="AF159" s="250"/>
      <c r="AG159" s="250"/>
      <c r="AH159" s="250"/>
      <c r="AI159" s="250"/>
      <c r="AJ159" s="250"/>
      <c r="AK159" s="250"/>
      <c r="AL159" s="250"/>
      <c r="AM159" s="250"/>
      <c r="AN159" s="250"/>
      <c r="AO159" s="250"/>
      <c r="AP159" s="250"/>
      <c r="AQ159" s="250"/>
      <c r="AR159" s="250"/>
      <c r="AS159" s="250"/>
      <c r="AT159" s="250"/>
      <c r="AU159" s="250"/>
      <c r="AV159" s="250"/>
      <c r="AW159" s="250"/>
      <c r="AX159" s="250"/>
      <c r="AY159" s="250"/>
      <c r="AZ159" s="250"/>
      <c r="BA159" s="250"/>
      <c r="BB159" s="250"/>
      <c r="BC159" s="250"/>
      <c r="BD159" s="250"/>
      <c r="BE159" s="250"/>
      <c r="BF159" s="250"/>
      <c r="BG159" s="250"/>
      <c r="BH159" s="250"/>
      <c r="BI159" s="250"/>
      <c r="BJ159" s="250"/>
      <c r="BK159" s="250"/>
      <c r="BL159" s="250"/>
      <c r="BM159" s="250"/>
      <c r="BN159" s="250"/>
      <c r="BO159" s="250"/>
      <c r="BP159" s="250"/>
      <c r="BQ159" s="250"/>
      <c r="BR159" s="250"/>
      <c r="BS159" s="250"/>
      <c r="BT159" s="250"/>
      <c r="BU159" s="250"/>
      <c r="BV159" s="250"/>
      <c r="BW159" s="250"/>
      <c r="BX159" s="7"/>
      <c r="BY159" s="7"/>
      <c r="BZ159" s="7"/>
      <c r="CA159" s="7"/>
      <c r="CB159" s="7"/>
      <c r="CC159" s="388"/>
      <c r="CD159" s="388"/>
      <c r="CE159" s="388"/>
    </row>
    <row r="160" spans="1:86" ht="15" x14ac:dyDescent="0.2">
      <c r="A160" s="252" t="s">
        <v>227</v>
      </c>
      <c r="B160" s="253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  <c r="W160" s="250"/>
      <c r="X160" s="250"/>
      <c r="Y160" s="250"/>
      <c r="Z160" s="250"/>
      <c r="AA160" s="250"/>
      <c r="AB160" s="250"/>
      <c r="AC160" s="250"/>
      <c r="AD160" s="250"/>
      <c r="AE160" s="250"/>
      <c r="AF160" s="250"/>
      <c r="AG160" s="250"/>
      <c r="AH160" s="250"/>
      <c r="AI160" s="250"/>
      <c r="AJ160" s="250"/>
      <c r="AK160" s="250"/>
      <c r="AL160" s="250"/>
      <c r="AM160" s="250"/>
      <c r="AN160" s="250"/>
      <c r="AO160" s="250"/>
      <c r="AP160" s="250"/>
      <c r="AQ160" s="250"/>
      <c r="AR160" s="250"/>
      <c r="AS160" s="250"/>
      <c r="AT160" s="250"/>
      <c r="AU160" s="250"/>
      <c r="AV160" s="250"/>
      <c r="AW160" s="250"/>
      <c r="AX160" s="250"/>
      <c r="AY160" s="250"/>
      <c r="AZ160" s="250"/>
      <c r="BA160" s="250"/>
      <c r="BB160" s="250"/>
      <c r="BC160" s="250"/>
      <c r="BD160" s="250"/>
      <c r="BE160" s="250"/>
      <c r="BF160" s="250"/>
      <c r="BG160" s="250"/>
      <c r="BH160" s="250"/>
      <c r="BI160" s="250"/>
      <c r="BJ160" s="250"/>
      <c r="BK160" s="250"/>
      <c r="BL160" s="250"/>
      <c r="BM160" s="250"/>
      <c r="BN160" s="250"/>
      <c r="BO160" s="250"/>
      <c r="BP160" s="250"/>
      <c r="BQ160" s="250"/>
      <c r="BR160" s="250"/>
      <c r="BS160" s="250"/>
      <c r="BT160" s="250"/>
      <c r="BU160" s="250"/>
      <c r="BV160" s="250"/>
      <c r="BW160" s="250"/>
      <c r="BX160" s="7"/>
      <c r="BY160" s="7"/>
      <c r="BZ160" s="7"/>
      <c r="CA160" s="7"/>
      <c r="CB160" s="7"/>
      <c r="CC160" s="388"/>
      <c r="CD160" s="388"/>
      <c r="CE160" s="388"/>
    </row>
    <row r="161" spans="1:83" ht="15" x14ac:dyDescent="0.2">
      <c r="A161" s="252" t="s">
        <v>235</v>
      </c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  <c r="W161" s="250"/>
      <c r="X161" s="250"/>
      <c r="Y161" s="250"/>
      <c r="Z161" s="250"/>
      <c r="AA161" s="250"/>
      <c r="AB161" s="250"/>
      <c r="AC161" s="250"/>
      <c r="AD161" s="250"/>
      <c r="AE161" s="250"/>
      <c r="AF161" s="250"/>
      <c r="AG161" s="250"/>
      <c r="AH161" s="250"/>
      <c r="AI161" s="250"/>
      <c r="AJ161" s="250"/>
      <c r="AK161" s="250"/>
      <c r="AL161" s="250"/>
      <c r="AM161" s="250"/>
      <c r="AN161" s="250"/>
      <c r="AO161" s="250"/>
      <c r="AP161" s="250"/>
      <c r="AQ161" s="250"/>
      <c r="AR161" s="250"/>
      <c r="AS161" s="250"/>
      <c r="AT161" s="250"/>
      <c r="AU161" s="250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252"/>
      <c r="BY161" s="7"/>
      <c r="BZ161" s="7"/>
      <c r="CA161" s="7"/>
      <c r="CB161" s="7"/>
      <c r="CC161" s="388"/>
      <c r="CD161" s="388"/>
      <c r="CE161" s="388"/>
    </row>
    <row r="162" spans="1:83" ht="15" x14ac:dyDescent="0.2">
      <c r="A162" s="252" t="s">
        <v>234</v>
      </c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  <c r="W162" s="250"/>
      <c r="X162" s="250"/>
      <c r="Y162" s="250"/>
      <c r="Z162" s="250"/>
      <c r="AA162" s="250"/>
      <c r="AB162" s="250"/>
      <c r="AC162" s="250"/>
      <c r="AD162" s="250"/>
      <c r="AE162" s="250"/>
      <c r="AF162" s="250"/>
      <c r="AG162" s="250"/>
      <c r="AH162" s="250"/>
      <c r="AI162" s="250"/>
      <c r="AJ162" s="250"/>
      <c r="AK162" s="250"/>
      <c r="AL162" s="250"/>
      <c r="AM162" s="250"/>
      <c r="AN162" s="250"/>
      <c r="AO162" s="250"/>
      <c r="AP162" s="250"/>
      <c r="AQ162" s="250"/>
      <c r="AR162" s="250"/>
      <c r="AS162" s="250"/>
      <c r="AT162" s="250"/>
      <c r="AU162" s="250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252"/>
      <c r="BY162" s="7"/>
      <c r="BZ162" s="7"/>
      <c r="CA162" s="7"/>
      <c r="CB162" s="7"/>
      <c r="CC162" s="388"/>
      <c r="CD162" s="388"/>
      <c r="CE162" s="388"/>
    </row>
    <row r="163" spans="1:83" ht="15" x14ac:dyDescent="0.2">
      <c r="A163" s="252" t="s">
        <v>213</v>
      </c>
    </row>
    <row r="164" spans="1:83" ht="15" x14ac:dyDescent="0.2">
      <c r="A164" s="4" t="s">
        <v>228</v>
      </c>
    </row>
    <row r="165" spans="1:83" ht="15" x14ac:dyDescent="0.2">
      <c r="A165" s="4" t="s">
        <v>229</v>
      </c>
    </row>
    <row r="166" spans="1:83" ht="15" x14ac:dyDescent="0.2">
      <c r="A166" s="4" t="s">
        <v>230</v>
      </c>
    </row>
    <row r="167" spans="1:83" ht="15" x14ac:dyDescent="0.2">
      <c r="A167" s="252" t="s">
        <v>231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Footer>&amp;R&amp;P (&amp;N)</oddFooter>
  </headerFooter>
  <rowBreaks count="2" manualBreakCount="2">
    <brk id="70" min="60" max="82" man="1"/>
    <brk id="133" min="60" max="82" man="1"/>
  </rowBreaks>
  <ignoredErrors>
    <ignoredError sqref="AF23 BV121:BV122 BV63:BV64" formula="1"/>
    <ignoredError sqref="AJ20:AP2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168"/>
  <sheetViews>
    <sheetView showGridLines="0" zoomScaleNormal="100" workbookViewId="0">
      <pane xSplit="1" ySplit="6" topLeftCell="G92" activePane="bottomRight" state="frozen"/>
      <selection pane="topRight" activeCell="B1" sqref="B1"/>
      <selection pane="bottomLeft" activeCell="A7" sqref="A7"/>
      <selection pane="bottomRight" activeCell="U109" sqref="U109"/>
    </sheetView>
  </sheetViews>
  <sheetFormatPr defaultColWidth="9.140625" defaultRowHeight="12.75" x14ac:dyDescent="0.2"/>
  <cols>
    <col min="1" max="1" width="72.140625" style="4" customWidth="1"/>
    <col min="2" max="19" width="12" style="2" bestFit="1" customWidth="1"/>
    <col min="20" max="21" width="12.42578125" style="2" bestFit="1" customWidth="1"/>
    <col min="22" max="22" width="9.28515625" style="2" bestFit="1" customWidth="1"/>
    <col min="23" max="48" width="9.140625" style="111"/>
    <col min="49" max="16384" width="9.140625" style="4"/>
  </cols>
  <sheetData>
    <row r="1" spans="1:48" ht="17.25" customHeight="1" x14ac:dyDescent="0.2">
      <c r="A1" s="306" t="s">
        <v>185</v>
      </c>
    </row>
    <row r="2" spans="1:48" ht="27.75" customHeight="1" x14ac:dyDescent="0.2">
      <c r="A2" s="5" t="s">
        <v>117</v>
      </c>
      <c r="B2" s="262"/>
    </row>
    <row r="3" spans="1:48" ht="16.5" customHeight="1" x14ac:dyDescent="0.2">
      <c r="A3" s="291" t="s">
        <v>25</v>
      </c>
      <c r="B3" s="307" t="s">
        <v>40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5"/>
    </row>
    <row r="4" spans="1:48" x14ac:dyDescent="0.2">
      <c r="A4" s="296" t="s">
        <v>186</v>
      </c>
      <c r="B4" s="30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309" t="s">
        <v>39</v>
      </c>
    </row>
    <row r="5" spans="1:48" ht="15" x14ac:dyDescent="0.2">
      <c r="A5" s="300"/>
      <c r="B5" s="310">
        <v>2001</v>
      </c>
      <c r="C5" s="302">
        <v>2002</v>
      </c>
      <c r="D5" s="302">
        <v>2003</v>
      </c>
      <c r="E5" s="302">
        <v>2004</v>
      </c>
      <c r="F5" s="302">
        <v>2005</v>
      </c>
      <c r="G5" s="302">
        <v>2006</v>
      </c>
      <c r="H5" s="302">
        <v>2007</v>
      </c>
      <c r="I5" s="302">
        <v>2008</v>
      </c>
      <c r="J5" s="302">
        <v>2009</v>
      </c>
      <c r="K5" s="302">
        <v>2010</v>
      </c>
      <c r="L5" s="302">
        <v>2011</v>
      </c>
      <c r="M5" s="302">
        <v>2012</v>
      </c>
      <c r="N5" s="302">
        <v>2013</v>
      </c>
      <c r="O5" s="302">
        <v>2014</v>
      </c>
      <c r="P5" s="302">
        <v>2015</v>
      </c>
      <c r="Q5" s="302">
        <v>2016</v>
      </c>
      <c r="R5" s="302">
        <v>2017</v>
      </c>
      <c r="S5" s="302">
        <v>2018</v>
      </c>
      <c r="T5" s="302">
        <v>2019</v>
      </c>
      <c r="U5" s="302">
        <v>2020</v>
      </c>
      <c r="V5" s="311" t="s">
        <v>199</v>
      </c>
    </row>
    <row r="6" spans="1:48" x14ac:dyDescent="0.2">
      <c r="A6" s="11"/>
      <c r="B6" s="2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24"/>
    </row>
    <row r="7" spans="1:48" s="31" customFormat="1" x14ac:dyDescent="0.2">
      <c r="A7" s="303" t="s">
        <v>88</v>
      </c>
      <c r="B7" s="15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  <c r="Q7" s="28"/>
      <c r="R7" s="28"/>
      <c r="S7" s="28"/>
      <c r="T7" s="28"/>
      <c r="U7" s="28"/>
      <c r="V7" s="30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/>
      <c r="AR7" s="421"/>
      <c r="AS7" s="421"/>
      <c r="AT7" s="421"/>
      <c r="AU7" s="421"/>
      <c r="AV7" s="421"/>
    </row>
    <row r="8" spans="1:48" x14ac:dyDescent="0.2">
      <c r="A8" s="11"/>
      <c r="B8" s="37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33"/>
      <c r="R8" s="33"/>
      <c r="S8" s="33"/>
      <c r="T8" s="33"/>
      <c r="U8" s="33"/>
      <c r="V8" s="38"/>
    </row>
    <row r="9" spans="1:48" x14ac:dyDescent="0.2">
      <c r="A9" s="39" t="s">
        <v>26</v>
      </c>
      <c r="B9" s="45">
        <f>SUM('Quarterly Data 2001-2021'!C9:F9)</f>
        <v>62</v>
      </c>
      <c r="C9" s="41">
        <f>SUM('Quarterly Data 2001-2021'!G9:J9)</f>
        <v>79.800000000000011</v>
      </c>
      <c r="D9" s="41">
        <f>SUM('Quarterly Data 2001-2021'!K9:N9)</f>
        <v>101</v>
      </c>
      <c r="E9" s="41">
        <f>SUM('Quarterly Data 2001-2021'!O9:R9)</f>
        <v>140.9</v>
      </c>
      <c r="F9" s="41">
        <f>SUM('Quarterly Data 2001-2021'!S9:V9)</f>
        <v>177.7</v>
      </c>
      <c r="G9" s="41">
        <f>SUM('Quarterly Data 2001-2021'!W9:Z9)</f>
        <v>279.5</v>
      </c>
      <c r="H9" s="41">
        <f>SUM('Quarterly Data 2001-2021'!AA9:AD9)</f>
        <v>303.85200000000003</v>
      </c>
      <c r="I9" s="41">
        <f>SUM('Quarterly Data 2001-2021'!AE9:AH9)</f>
        <v>276</v>
      </c>
      <c r="J9" s="41">
        <f>SUM('Quarterly Data 2001-2021'!AI9:AL9)</f>
        <v>342.68900000000002</v>
      </c>
      <c r="K9" s="41">
        <f>SUM('Quarterly Data 2001-2021'!AM9:AP9)</f>
        <v>372.1</v>
      </c>
      <c r="L9" s="41">
        <v>351.7</v>
      </c>
      <c r="M9" s="41">
        <f>SUM('Quarterly Data 2001-2021'!AU9:AX9)</f>
        <v>258</v>
      </c>
      <c r="N9" s="41">
        <f>SUM('Quarterly Data 2001-2021'!AY9:BB9)</f>
        <v>290</v>
      </c>
      <c r="O9" s="41">
        <f>SUM('Quarterly Data 2001-2021'!BC9:BF9)</f>
        <v>332.5</v>
      </c>
      <c r="P9" s="41">
        <v>550.20000000000005</v>
      </c>
      <c r="Q9" s="41">
        <v>542.79999999999995</v>
      </c>
      <c r="R9" s="41">
        <v>528.1</v>
      </c>
      <c r="S9" s="42">
        <v>520.35195819</v>
      </c>
      <c r="T9" s="42">
        <v>556.20324171999835</v>
      </c>
      <c r="U9" s="41">
        <v>1271.6291928199964</v>
      </c>
      <c r="V9" s="46">
        <f>+((U9/B9)^(1/19))-1</f>
        <v>0.17233299826981541</v>
      </c>
    </row>
    <row r="10" spans="1:48" x14ac:dyDescent="0.2">
      <c r="A10" s="47" t="s">
        <v>29</v>
      </c>
      <c r="B10" s="53">
        <f>SUM('Quarterly Data 2001-2021'!C10:F10)</f>
        <v>-10.199999999999999</v>
      </c>
      <c r="C10" s="49">
        <f>SUM('Quarterly Data 2001-2021'!G10:J10)</f>
        <v>-10</v>
      </c>
      <c r="D10" s="49">
        <f>SUM('Quarterly Data 2001-2021'!K10:N10)</f>
        <v>-12</v>
      </c>
      <c r="E10" s="49">
        <f>SUM('Quarterly Data 2001-2021'!O10:R10)</f>
        <v>-17.8</v>
      </c>
      <c r="F10" s="49">
        <f>SUM('Quarterly Data 2001-2021'!S10:V10)</f>
        <v>-23.5</v>
      </c>
      <c r="G10" s="49">
        <f>SUM('Quarterly Data 2001-2021'!W10:Z10)</f>
        <v>-39.800000000000004</v>
      </c>
      <c r="H10" s="41">
        <f>SUM('Quarterly Data 2001-2021'!AA10:AD10)</f>
        <v>-48.237000000000002</v>
      </c>
      <c r="I10" s="41">
        <f>SUM('Quarterly Data 2001-2021'!AE10:AH10)</f>
        <v>-46.67</v>
      </c>
      <c r="J10" s="41">
        <f>SUM('Quarterly Data 2001-2021'!AI10:AL10)</f>
        <v>-42.819999999999993</v>
      </c>
      <c r="K10" s="41">
        <f>SUM('Quarterly Data 2001-2021'!AM10:AP10)</f>
        <v>-43.2</v>
      </c>
      <c r="L10" s="41">
        <v>-46.6</v>
      </c>
      <c r="M10" s="41">
        <f>SUM('Quarterly Data 2001-2021'!AU10:AX10)</f>
        <v>-42</v>
      </c>
      <c r="N10" s="41">
        <f>SUM('Quarterly Data 2001-2021'!AY10:BB10)</f>
        <v>-45</v>
      </c>
      <c r="O10" s="41">
        <f>SUM('Quarterly Data 2001-2021'!BC10:BF10)</f>
        <v>-46.8</v>
      </c>
      <c r="P10" s="41">
        <v>-70.8</v>
      </c>
      <c r="Q10" s="41">
        <v>-73.400000000000006</v>
      </c>
      <c r="R10" s="41">
        <v>-78.7</v>
      </c>
      <c r="S10" s="42">
        <v>-85.099727200000004</v>
      </c>
      <c r="T10" s="42">
        <v>-90.325135259999996</v>
      </c>
      <c r="U10" s="41">
        <v>-169.58560554999977</v>
      </c>
      <c r="V10" s="46">
        <f>+((U10/B10)^(1/19))-1</f>
        <v>0.15945004798362561</v>
      </c>
    </row>
    <row r="11" spans="1:48" s="31" customFormat="1" x14ac:dyDescent="0.2">
      <c r="A11" s="54" t="s">
        <v>30</v>
      </c>
      <c r="B11" s="60">
        <f t="shared" ref="B11:Q11" si="0">SUM(B9:B10)</f>
        <v>51.8</v>
      </c>
      <c r="C11" s="56">
        <f t="shared" si="0"/>
        <v>69.800000000000011</v>
      </c>
      <c r="D11" s="56">
        <f t="shared" si="0"/>
        <v>89</v>
      </c>
      <c r="E11" s="56">
        <f t="shared" si="0"/>
        <v>123.10000000000001</v>
      </c>
      <c r="F11" s="56">
        <f t="shared" si="0"/>
        <v>154.19999999999999</v>
      </c>
      <c r="G11" s="56">
        <f t="shared" si="0"/>
        <v>239.7</v>
      </c>
      <c r="H11" s="56">
        <f t="shared" si="0"/>
        <v>255.61500000000004</v>
      </c>
      <c r="I11" s="56">
        <f t="shared" si="0"/>
        <v>229.32999999999998</v>
      </c>
      <c r="J11" s="56">
        <f t="shared" si="0"/>
        <v>299.86900000000003</v>
      </c>
      <c r="K11" s="56">
        <f t="shared" si="0"/>
        <v>328.90000000000003</v>
      </c>
      <c r="L11" s="56">
        <f t="shared" si="0"/>
        <v>305.09999999999997</v>
      </c>
      <c r="M11" s="56">
        <f t="shared" si="0"/>
        <v>216</v>
      </c>
      <c r="N11" s="56">
        <f t="shared" si="0"/>
        <v>245</v>
      </c>
      <c r="O11" s="56">
        <f t="shared" si="0"/>
        <v>285.7</v>
      </c>
      <c r="P11" s="56">
        <f t="shared" si="0"/>
        <v>479.40000000000003</v>
      </c>
      <c r="Q11" s="56">
        <f t="shared" si="0"/>
        <v>469.4</v>
      </c>
      <c r="R11" s="56">
        <f>SUM(R9:R10)</f>
        <v>449.40000000000003</v>
      </c>
      <c r="S11" s="56">
        <f>SUM(S9:S10)</f>
        <v>435.25223098999999</v>
      </c>
      <c r="T11" s="56">
        <f>SUM(T9:T10)</f>
        <v>465.87810645999832</v>
      </c>
      <c r="U11" s="56">
        <f>SUM(U9:U10)</f>
        <v>1102.0435872699966</v>
      </c>
      <c r="V11" s="61">
        <f>+((U11/B11)^(1/19))-1</f>
        <v>0.17459417489623741</v>
      </c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</row>
    <row r="12" spans="1:48" s="31" customFormat="1" x14ac:dyDescent="0.2">
      <c r="A12" s="54" t="s">
        <v>98</v>
      </c>
      <c r="B12" s="60">
        <f>SUM('Quarterly Data 2001-2021'!C12:F12)</f>
        <v>0.8</v>
      </c>
      <c r="C12" s="56">
        <f>SUM('Quarterly Data 2001-2021'!G12:J12)</f>
        <v>2</v>
      </c>
      <c r="D12" s="56">
        <f>SUM('Quarterly Data 2001-2021'!K12:N12)</f>
        <v>1.9</v>
      </c>
      <c r="E12" s="56">
        <f>SUM('Quarterly Data 2001-2021'!O12:R12)</f>
        <v>7.3</v>
      </c>
      <c r="F12" s="56">
        <f>SUM('Quarterly Data 2001-2021'!S12:V12)</f>
        <v>33.099999999999994</v>
      </c>
      <c r="G12" s="56">
        <f>SUM('Quarterly Data 2001-2021'!W12:Z12)</f>
        <v>44.7</v>
      </c>
      <c r="H12" s="62">
        <f>SUM('Quarterly Data 2001-2021'!AA12:AD12)</f>
        <v>68.655000000000001</v>
      </c>
      <c r="I12" s="62">
        <f>SUM('Quarterly Data 2001-2021'!AE12:AH12)</f>
        <v>41.2</v>
      </c>
      <c r="J12" s="62">
        <f>SUM('Quarterly Data 2001-2021'!AI12:AL12)</f>
        <v>48.143000000000001</v>
      </c>
      <c r="K12" s="62">
        <f>SUM('Quarterly Data 2001-2021'!AM12:AP12)</f>
        <v>81</v>
      </c>
      <c r="L12" s="62">
        <v>70.400000000000006</v>
      </c>
      <c r="M12" s="62">
        <v>64</v>
      </c>
      <c r="N12" s="62">
        <f>SUM('Quarterly Data 2001-2021'!AY12:BB12)-1</f>
        <v>82</v>
      </c>
      <c r="O12" s="62">
        <f>SUM('Quarterly Data 2001-2021'!BC12:BF12)</f>
        <v>113.7</v>
      </c>
      <c r="P12" s="62">
        <v>159.69999999999999</v>
      </c>
      <c r="Q12" s="62">
        <v>167.5</v>
      </c>
      <c r="R12" s="62">
        <v>239.65</v>
      </c>
      <c r="S12" s="322">
        <v>300.91760233000002</v>
      </c>
      <c r="T12" s="322">
        <v>331.96305080999986</v>
      </c>
      <c r="U12" s="322">
        <v>417.97628681999998</v>
      </c>
      <c r="V12" s="61">
        <f>+((U12/B12)^(1/19))-1</f>
        <v>0.39013147508223556</v>
      </c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1"/>
      <c r="AN12" s="421"/>
      <c r="AO12" s="421"/>
      <c r="AP12" s="421"/>
      <c r="AQ12" s="421"/>
      <c r="AR12" s="421"/>
      <c r="AS12" s="421"/>
      <c r="AT12" s="421"/>
      <c r="AU12" s="421"/>
      <c r="AV12" s="421"/>
    </row>
    <row r="13" spans="1:48" x14ac:dyDescent="0.2">
      <c r="A13" s="47" t="s">
        <v>137</v>
      </c>
      <c r="B13" s="53" t="s">
        <v>37</v>
      </c>
      <c r="C13" s="49" t="s">
        <v>37</v>
      </c>
      <c r="D13" s="49" t="s">
        <v>37</v>
      </c>
      <c r="E13" s="49" t="s">
        <v>37</v>
      </c>
      <c r="F13" s="49" t="s">
        <v>37</v>
      </c>
      <c r="G13" s="49" t="s">
        <v>37</v>
      </c>
      <c r="H13" s="41" t="s">
        <v>37</v>
      </c>
      <c r="I13" s="41" t="s">
        <v>37</v>
      </c>
      <c r="J13" s="41" t="s">
        <v>37</v>
      </c>
      <c r="K13" s="41" t="s">
        <v>37</v>
      </c>
      <c r="L13" s="41" t="s">
        <v>37</v>
      </c>
      <c r="M13" s="41" t="s">
        <v>37</v>
      </c>
      <c r="N13" s="41" t="s">
        <v>37</v>
      </c>
      <c r="O13" s="41" t="s">
        <v>37</v>
      </c>
      <c r="P13" s="41" t="s">
        <v>37</v>
      </c>
      <c r="Q13" s="41">
        <f>SUM('Quarterly Data 2001-2021'!BK13:BN13)</f>
        <v>80.58</v>
      </c>
      <c r="R13" s="41">
        <f>SUM('Quarterly Data 2001-2021'!BO13:BR13)</f>
        <v>99.759999999999991</v>
      </c>
      <c r="S13" s="41">
        <f>SUM('Quarterly Data 2001-2021'!BS13:BV13)</f>
        <v>126.67813332</v>
      </c>
      <c r="T13" s="41">
        <f>SUM('Quarterly Data 2001-2021'!BW13:BZ13)</f>
        <v>124.63517392999999</v>
      </c>
      <c r="U13" s="41">
        <v>355.19385961</v>
      </c>
      <c r="V13" s="46" t="s">
        <v>37</v>
      </c>
    </row>
    <row r="14" spans="1:48" x14ac:dyDescent="0.2">
      <c r="A14" s="47" t="s">
        <v>138</v>
      </c>
      <c r="B14" s="53" t="s">
        <v>37</v>
      </c>
      <c r="C14" s="49" t="s">
        <v>37</v>
      </c>
      <c r="D14" s="49" t="s">
        <v>37</v>
      </c>
      <c r="E14" s="49" t="s">
        <v>37</v>
      </c>
      <c r="F14" s="49" t="s">
        <v>37</v>
      </c>
      <c r="G14" s="49" t="s">
        <v>37</v>
      </c>
      <c r="H14" s="41" t="s">
        <v>37</v>
      </c>
      <c r="I14" s="41" t="s">
        <v>37</v>
      </c>
      <c r="J14" s="41" t="s">
        <v>37</v>
      </c>
      <c r="K14" s="41" t="s">
        <v>37</v>
      </c>
      <c r="L14" s="41" t="s">
        <v>37</v>
      </c>
      <c r="M14" s="41" t="s">
        <v>37</v>
      </c>
      <c r="N14" s="41" t="s">
        <v>37</v>
      </c>
      <c r="O14" s="41" t="s">
        <v>37</v>
      </c>
      <c r="P14" s="41" t="s">
        <v>37</v>
      </c>
      <c r="Q14" s="41">
        <f>SUM('Quarterly Data 2001-2021'!BK14:BN14)</f>
        <v>52.57</v>
      </c>
      <c r="R14" s="41">
        <f>SUM('Quarterly Data 2001-2021'!BO14:BR14)</f>
        <v>55.63</v>
      </c>
      <c r="S14" s="41">
        <f>SUM('Quarterly Data 2001-2021'!BS14:BV14)</f>
        <v>66.480881999999994</v>
      </c>
      <c r="T14" s="41">
        <f>SUM('Quarterly Data 2001-2021'!BW14:BZ14)</f>
        <v>76.287522680000009</v>
      </c>
      <c r="U14" s="41">
        <v>102.60484597999999</v>
      </c>
      <c r="V14" s="46" t="s">
        <v>37</v>
      </c>
    </row>
    <row r="15" spans="1:48" x14ac:dyDescent="0.2">
      <c r="A15" s="47" t="s">
        <v>139</v>
      </c>
      <c r="B15" s="53" t="s">
        <v>37</v>
      </c>
      <c r="C15" s="49" t="s">
        <v>37</v>
      </c>
      <c r="D15" s="49" t="s">
        <v>37</v>
      </c>
      <c r="E15" s="49" t="s">
        <v>37</v>
      </c>
      <c r="F15" s="49" t="s">
        <v>37</v>
      </c>
      <c r="G15" s="49" t="s">
        <v>37</v>
      </c>
      <c r="H15" s="41" t="s">
        <v>37</v>
      </c>
      <c r="I15" s="41" t="s">
        <v>37</v>
      </c>
      <c r="J15" s="41" t="s">
        <v>37</v>
      </c>
      <c r="K15" s="41" t="s">
        <v>37</v>
      </c>
      <c r="L15" s="41" t="s">
        <v>37</v>
      </c>
      <c r="M15" s="41" t="s">
        <v>37</v>
      </c>
      <c r="N15" s="41" t="s">
        <v>37</v>
      </c>
      <c r="O15" s="41" t="s">
        <v>37</v>
      </c>
      <c r="P15" s="41" t="s">
        <v>37</v>
      </c>
      <c r="Q15" s="41">
        <f>SUM('Quarterly Data 2001-2021'!BK15:BN15)</f>
        <v>30.85</v>
      </c>
      <c r="R15" s="41">
        <f>SUM('Quarterly Data 2001-2021'!BO15:BR15)</f>
        <v>34.53</v>
      </c>
      <c r="S15" s="41">
        <f>SUM('Quarterly Data 2001-2021'!BS15:BV15)</f>
        <v>23.603994999999998</v>
      </c>
      <c r="T15" s="41">
        <f>SUM('Quarterly Data 2001-2021'!BW15:BZ15)</f>
        <v>27.287596000000001</v>
      </c>
      <c r="U15" s="41">
        <f>SUM('Quarterly Data 2001-2021'!CA15:CD15)</f>
        <v>36.712558999999999</v>
      </c>
      <c r="V15" s="46" t="s">
        <v>37</v>
      </c>
    </row>
    <row r="16" spans="1:48" ht="15" x14ac:dyDescent="0.2">
      <c r="A16" s="47" t="s">
        <v>191</v>
      </c>
      <c r="B16" s="53" t="s">
        <v>37</v>
      </c>
      <c r="C16" s="49" t="s">
        <v>37</v>
      </c>
      <c r="D16" s="49" t="s">
        <v>37</v>
      </c>
      <c r="E16" s="49" t="s">
        <v>37</v>
      </c>
      <c r="F16" s="49" t="s">
        <v>37</v>
      </c>
      <c r="G16" s="49" t="s">
        <v>37</v>
      </c>
      <c r="H16" s="41" t="s">
        <v>37</v>
      </c>
      <c r="I16" s="41" t="s">
        <v>37</v>
      </c>
      <c r="J16" s="41" t="s">
        <v>37</v>
      </c>
      <c r="K16" s="41" t="s">
        <v>37</v>
      </c>
      <c r="L16" s="41" t="s">
        <v>37</v>
      </c>
      <c r="M16" s="41" t="s">
        <v>37</v>
      </c>
      <c r="N16" s="41" t="s">
        <v>37</v>
      </c>
      <c r="O16" s="41" t="s">
        <v>37</v>
      </c>
      <c r="P16" s="41" t="s">
        <v>37</v>
      </c>
      <c r="Q16" s="41">
        <f>SUM('Quarterly Data 2001-2021'!BK16:BN16)</f>
        <v>23.930208</v>
      </c>
      <c r="R16" s="41">
        <f>SUM('Quarterly Data 2001-2021'!BO16:BR16)</f>
        <v>14.505642999999999</v>
      </c>
      <c r="S16" s="41">
        <f>SUM('Quarterly Data 2001-2021'!BS16:BV16)</f>
        <v>3.3473696100000598</v>
      </c>
      <c r="T16" s="41">
        <f>SUM('Quarterly Data 2001-2021'!BW16:BZ16)</f>
        <v>1.5284050999999019</v>
      </c>
      <c r="U16" s="41">
        <f>SUM('Quarterly Data 2001-2021'!CA16:CD16)</f>
        <v>-16.34660599270337</v>
      </c>
      <c r="V16" s="46" t="s">
        <v>37</v>
      </c>
    </row>
    <row r="17" spans="1:48" s="31" customFormat="1" ht="15" x14ac:dyDescent="0.2">
      <c r="A17" s="54" t="s">
        <v>192</v>
      </c>
      <c r="B17" s="60">
        <f>SUM('Quarterly Data 2001-2021'!C17:F17)</f>
        <v>9.4000000000000021</v>
      </c>
      <c r="C17" s="56">
        <f>SUM('Quarterly Data 2001-2021'!G17:J17)</f>
        <v>5.1000000000000032</v>
      </c>
      <c r="D17" s="56">
        <f>SUM('Quarterly Data 2001-2021'!K17:N17)</f>
        <v>10.299999999999997</v>
      </c>
      <c r="E17" s="56">
        <f>SUM('Quarterly Data 2001-2021'!O17:R17)</f>
        <v>17.499999999999996</v>
      </c>
      <c r="F17" s="56">
        <f>SUM('Quarterly Data 2001-2021'!S17:V17)</f>
        <v>13.299999999999997</v>
      </c>
      <c r="G17" s="56">
        <f>SUM('Quarterly Data 2001-2021'!W17:Z17)</f>
        <v>30.299999999999983</v>
      </c>
      <c r="H17" s="62">
        <f>SUM('Quarterly Data 2001-2021'!AA17:AD17)</f>
        <v>57.78</v>
      </c>
      <c r="I17" s="62">
        <f>SUM('Quarterly Data 2001-2021'!AE17:AH17)</f>
        <v>44.579999999999984</v>
      </c>
      <c r="J17" s="62">
        <f>SUM('Quarterly Data 2001-2021'!AI17:AL17)</f>
        <v>48.687999999999988</v>
      </c>
      <c r="K17" s="62">
        <f>SUM('Quarterly Data 2001-2021'!AM17:AP17)</f>
        <v>63</v>
      </c>
      <c r="L17" s="62">
        <f>SUM('Quarterly Data 2001-2021'!AQ17:AT17)</f>
        <v>62.299432000000003</v>
      </c>
      <c r="M17" s="62">
        <f>SUM('Quarterly Data 2001-2021'!AU17:AX17)</f>
        <v>65.311421999999993</v>
      </c>
      <c r="N17" s="62">
        <f>SUM('Quarterly Data 2001-2021'!AY17:BB17)</f>
        <v>75.879529000000005</v>
      </c>
      <c r="O17" s="62">
        <f>SUM('Quarterly Data 2001-2021'!BC17:BF17)</f>
        <v>110.90606299999999</v>
      </c>
      <c r="P17" s="62">
        <f>SUM('Quarterly Data 2001-2021'!BG17:BJ17)</f>
        <v>148.16499400000001</v>
      </c>
      <c r="Q17" s="62">
        <f>SUM('Quarterly Data 2001-2021'!BK17:BN17)</f>
        <v>187.96020799999999</v>
      </c>
      <c r="R17" s="62">
        <f>SUM('Quarterly Data 2001-2021'!BO17:BR17)</f>
        <v>204.41064299999999</v>
      </c>
      <c r="S17" s="62">
        <f>SUM('Quarterly Data 2001-2021'!BS17:BV17)</f>
        <v>219.71137993000008</v>
      </c>
      <c r="T17" s="62">
        <f>SUM('Quarterly Data 2001-2021'!BW17:BZ17)</f>
        <v>229.73869770999991</v>
      </c>
      <c r="U17" s="62">
        <f>SUM('Quarterly Data 2001-2021'!CA17:CD17)</f>
        <v>478.16465859729709</v>
      </c>
      <c r="V17" s="61">
        <f t="shared" ref="V17:V23" si="1">+((U17/B17)^(1/19))-1</f>
        <v>0.22973954204192371</v>
      </c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21"/>
      <c r="AP17" s="421"/>
      <c r="AQ17" s="421"/>
      <c r="AR17" s="421"/>
      <c r="AS17" s="421"/>
      <c r="AT17" s="421"/>
      <c r="AU17" s="421"/>
      <c r="AV17" s="421"/>
    </row>
    <row r="18" spans="1:48" ht="15" x14ac:dyDescent="0.2">
      <c r="A18" s="47" t="s">
        <v>193</v>
      </c>
      <c r="B18" s="53">
        <f>SUM('Quarterly Data 2001-2021'!C18:F18)</f>
        <v>45</v>
      </c>
      <c r="C18" s="49">
        <f>SUM('Quarterly Data 2001-2021'!G18:J18)</f>
        <v>55.7</v>
      </c>
      <c r="D18" s="49">
        <f>SUM('Quarterly Data 2001-2021'!K18:N18)</f>
        <v>54.2</v>
      </c>
      <c r="E18" s="49">
        <f>SUM('Quarterly Data 2001-2021'!O18:R18)</f>
        <v>68.599999999999994</v>
      </c>
      <c r="F18" s="49">
        <f>SUM('Quarterly Data 2001-2021'!S18:V18)</f>
        <v>93</v>
      </c>
      <c r="G18" s="49">
        <f>SUM('Quarterly Data 2001-2021'!W18:Z18)</f>
        <v>180.7</v>
      </c>
      <c r="H18" s="41">
        <f>SUM('Quarterly Data 2001-2021'!AA18:AD18)</f>
        <v>302.10000000000002</v>
      </c>
      <c r="I18" s="41">
        <f>SUM('Quarterly Data 2001-2021'!AE18:AH18)</f>
        <v>394.2</v>
      </c>
      <c r="J18" s="41">
        <f>SUM('Quarterly Data 2001-2021'!AI18:AL18)</f>
        <v>136.9</v>
      </c>
      <c r="K18" s="41">
        <v>174</v>
      </c>
      <c r="L18" s="41">
        <f>SUM('Quarterly Data 2001-2021'!AQ18:AT18)</f>
        <v>335.70056799999998</v>
      </c>
      <c r="M18" s="41">
        <f>SUM('Quarterly Data 2001-2021'!AU18:AX18)</f>
        <v>293.68857800000001</v>
      </c>
      <c r="N18" s="41">
        <f>SUM('Quarterly Data 2001-2021'!AY18:BB18)</f>
        <v>233.12047100000001</v>
      </c>
      <c r="O18" s="41">
        <f>SUM('Quarterly Data 2001-2021'!BC18:BF18)</f>
        <v>222.483937</v>
      </c>
      <c r="P18" s="41">
        <f>SUM('Quarterly Data 2001-2021'!BG18:BJ18)</f>
        <v>163.135006</v>
      </c>
      <c r="Q18" s="41">
        <f>SUM('Quarterly Data 2001-2021'!BK18:BN18)</f>
        <v>177.109792</v>
      </c>
      <c r="R18" s="41">
        <f>SUM('Quarterly Data 2001-2021'!BO18:BR18)</f>
        <v>190.21435700000001</v>
      </c>
      <c r="S18" s="41">
        <f>SUM('Quarterly Data 2001-2021'!BS18:BV18)</f>
        <v>212.42112645999998</v>
      </c>
      <c r="T18" s="41">
        <f>SUM('Quarterly Data 2001-2021'!BW18:BZ18)</f>
        <v>252.60072118999989</v>
      </c>
      <c r="U18" s="41">
        <f>SUM('Quarterly Data 2001-2021'!CA18:CD18)</f>
        <v>363.80239258</v>
      </c>
      <c r="V18" s="46">
        <f t="shared" si="1"/>
        <v>0.11627503612118817</v>
      </c>
      <c r="X18" s="421"/>
    </row>
    <row r="19" spans="1:48" x14ac:dyDescent="0.2">
      <c r="A19" s="47" t="s">
        <v>115</v>
      </c>
      <c r="B19" s="53">
        <f>SUM('Quarterly Data 2001-2021'!C19:F19)</f>
        <v>-17.7</v>
      </c>
      <c r="C19" s="49">
        <f>SUM('Quarterly Data 2001-2021'!G19:J19)</f>
        <v>-15.600000000000001</v>
      </c>
      <c r="D19" s="49">
        <f>SUM('Quarterly Data 2001-2021'!K19:N19)</f>
        <v>-9.0579999999999998</v>
      </c>
      <c r="E19" s="49">
        <f>SUM('Quarterly Data 2001-2021'!O19:R19)</f>
        <v>-8.8840000000000003</v>
      </c>
      <c r="F19" s="49">
        <f>SUM('Quarterly Data 2001-2021'!S19:V19)</f>
        <v>-12.545999999999999</v>
      </c>
      <c r="G19" s="49">
        <f>SUM('Quarterly Data 2001-2021'!W19:Z19)</f>
        <v>-44.856999999999999</v>
      </c>
      <c r="H19" s="41">
        <f>SUM('Quarterly Data 2001-2021'!AA19:AD19)</f>
        <v>-130.39539500000001</v>
      </c>
      <c r="I19" s="41">
        <f>SUM('Quarterly Data 2001-2021'!AE19:AH19)</f>
        <v>-204.50286300000002</v>
      </c>
      <c r="J19" s="41">
        <f>SUM('Quarterly Data 2001-2021'!AI19:AL19)</f>
        <v>-26.116951020000002</v>
      </c>
      <c r="K19" s="41">
        <f>SUM('Quarterly Data 2001-2021'!AM19:AP19)</f>
        <v>-24.143573019999998</v>
      </c>
      <c r="L19" s="41">
        <f>SUM('Quarterly Data 2001-2021'!AQ19:AT19)</f>
        <v>-96.311781019999998</v>
      </c>
      <c r="M19" s="41">
        <f>SUM('Quarterly Data 2001-2021'!AU19:AX19)</f>
        <v>-83.353935050000004</v>
      </c>
      <c r="N19" s="41">
        <f>SUM('Quarterly Data 2001-2021'!AY19:BB19)</f>
        <v>-57.746432999999996</v>
      </c>
      <c r="O19" s="41">
        <f>SUM('Quarterly Data 2001-2021'!BC19:BF19)</f>
        <v>-54.92</v>
      </c>
      <c r="P19" s="41">
        <v>-55.3</v>
      </c>
      <c r="Q19" s="41">
        <v>-96.9</v>
      </c>
      <c r="R19" s="41">
        <v>-110</v>
      </c>
      <c r="S19" s="42">
        <v>-121.86275151</v>
      </c>
      <c r="T19" s="42">
        <v>-87.267361599999902</v>
      </c>
      <c r="U19" s="41">
        <v>-80.486242720000007</v>
      </c>
      <c r="V19" s="46">
        <f t="shared" si="1"/>
        <v>8.297476297368811E-2</v>
      </c>
      <c r="X19" s="421"/>
    </row>
    <row r="20" spans="1:48" s="31" customFormat="1" x14ac:dyDescent="0.2">
      <c r="A20" s="54" t="s">
        <v>27</v>
      </c>
      <c r="B20" s="60">
        <f t="shared" ref="B20:T20" si="2">SUM(B18:B19)</f>
        <v>27.3</v>
      </c>
      <c r="C20" s="56">
        <f t="shared" si="2"/>
        <v>40.1</v>
      </c>
      <c r="D20" s="56">
        <f t="shared" si="2"/>
        <v>45.142000000000003</v>
      </c>
      <c r="E20" s="56">
        <f t="shared" si="2"/>
        <v>59.715999999999994</v>
      </c>
      <c r="F20" s="56">
        <f t="shared" si="2"/>
        <v>80.454000000000008</v>
      </c>
      <c r="G20" s="56">
        <f t="shared" si="2"/>
        <v>135.84299999999999</v>
      </c>
      <c r="H20" s="56">
        <f t="shared" si="2"/>
        <v>171.70460500000002</v>
      </c>
      <c r="I20" s="56">
        <f t="shared" si="2"/>
        <v>189.69713699999997</v>
      </c>
      <c r="J20" s="56">
        <f t="shared" si="2"/>
        <v>110.78304898</v>
      </c>
      <c r="K20" s="56">
        <f t="shared" si="2"/>
        <v>149.85642698000001</v>
      </c>
      <c r="L20" s="56">
        <f>SUM(L18:L19)</f>
        <v>239.38878697999996</v>
      </c>
      <c r="M20" s="62">
        <f>SUM(M18:M19)</f>
        <v>210.33464294999999</v>
      </c>
      <c r="N20" s="62">
        <f t="shared" si="2"/>
        <v>175.37403800000001</v>
      </c>
      <c r="O20" s="62">
        <f t="shared" si="2"/>
        <v>167.56393700000001</v>
      </c>
      <c r="P20" s="62">
        <f t="shared" si="2"/>
        <v>107.83500600000001</v>
      </c>
      <c r="Q20" s="62">
        <f t="shared" si="2"/>
        <v>80.209791999999993</v>
      </c>
      <c r="R20" s="62">
        <f t="shared" si="2"/>
        <v>80.214357000000007</v>
      </c>
      <c r="S20" s="62">
        <f t="shared" si="2"/>
        <v>90.558374949999987</v>
      </c>
      <c r="T20" s="62">
        <f t="shared" si="2"/>
        <v>165.33335958999999</v>
      </c>
      <c r="U20" s="62">
        <f>SUM(U18:U19)</f>
        <v>283.31614986</v>
      </c>
      <c r="V20" s="61">
        <f t="shared" si="1"/>
        <v>0.13104375052674033</v>
      </c>
      <c r="W20" s="422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1"/>
      <c r="AN20" s="421"/>
      <c r="AO20" s="421"/>
      <c r="AP20" s="421"/>
      <c r="AQ20" s="421"/>
      <c r="AR20" s="421"/>
      <c r="AS20" s="421"/>
      <c r="AT20" s="421"/>
      <c r="AU20" s="421"/>
      <c r="AV20" s="421"/>
    </row>
    <row r="21" spans="1:48" x14ac:dyDescent="0.2">
      <c r="A21" s="47" t="s">
        <v>28</v>
      </c>
      <c r="B21" s="53">
        <f>SUM('Quarterly Data 2001-2021'!C21:F21)</f>
        <v>2.1</v>
      </c>
      <c r="C21" s="49">
        <f>SUM('Quarterly Data 2001-2021'!G21:J21)</f>
        <v>4.7</v>
      </c>
      <c r="D21" s="49">
        <f>SUM('Quarterly Data 2001-2021'!K21:N21)</f>
        <v>0.7</v>
      </c>
      <c r="E21" s="49">
        <f>SUM('Quarterly Data 2001-2021'!O21:R21)</f>
        <v>0.8</v>
      </c>
      <c r="F21" s="49">
        <f>SUM('Quarterly Data 2001-2021'!S21:V21)</f>
        <v>0.30000000000000004</v>
      </c>
      <c r="G21" s="49">
        <f>SUM('Quarterly Data 2001-2021'!W21:Z21)</f>
        <v>0.7</v>
      </c>
      <c r="H21" s="41">
        <f>SUM('Quarterly Data 2001-2021'!AA21:AD21)</f>
        <v>0.71900000000000008</v>
      </c>
      <c r="I21" s="41">
        <f>SUM('Quarterly Data 2001-2021'!AE21:AH21)</f>
        <v>1.3</v>
      </c>
      <c r="J21" s="41">
        <f>SUM('Quarterly Data 2001-2021'!AI21:AL21)</f>
        <v>1.4</v>
      </c>
      <c r="K21" s="41">
        <f>SUM('Quarterly Data 2001-2021'!AM21:AP21)</f>
        <v>-9</v>
      </c>
      <c r="L21" s="41">
        <f>SUM('Quarterly Data 2001-2021'!AQ21:AT21)</f>
        <v>1</v>
      </c>
      <c r="M21" s="41">
        <v>-7</v>
      </c>
      <c r="N21" s="41">
        <f>SUM('Quarterly Data 2001-2021'!AY21:BB21)</f>
        <v>1</v>
      </c>
      <c r="O21" s="41">
        <f>SUM('Quarterly Data 2001-2021'!BC21:BF21)</f>
        <v>0.125</v>
      </c>
      <c r="P21" s="41">
        <v>1.6</v>
      </c>
      <c r="Q21" s="41">
        <v>3.48</v>
      </c>
      <c r="R21" s="41">
        <v>2</v>
      </c>
      <c r="S21" s="42">
        <v>2.0275584699999998</v>
      </c>
      <c r="T21" s="42">
        <v>0.47281075999999961</v>
      </c>
      <c r="U21" s="42">
        <v>67.185015659999905</v>
      </c>
      <c r="V21" s="46">
        <f t="shared" si="1"/>
        <v>0.2000886338584551</v>
      </c>
      <c r="X21" s="421"/>
    </row>
    <row r="22" spans="1:48" x14ac:dyDescent="0.2">
      <c r="A22" s="13" t="s">
        <v>45</v>
      </c>
      <c r="B22" s="67">
        <f>SUM('Quarterly Data 2001-2021'!C22:F22)</f>
        <v>3.5000000000000004</v>
      </c>
      <c r="C22" s="64">
        <f>SUM('Quarterly Data 2001-2021'!G22:J22)</f>
        <v>0.89999999999999991</v>
      </c>
      <c r="D22" s="64">
        <f>SUM('Quarterly Data 2001-2021'!K22:N22)</f>
        <v>2.5</v>
      </c>
      <c r="E22" s="64">
        <f>SUM('Quarterly Data 2001-2021'!O22:R22)</f>
        <v>1.4000000000000001</v>
      </c>
      <c r="F22" s="64">
        <f>SUM('Quarterly Data 2001-2021'!S22:V22)</f>
        <v>2.5</v>
      </c>
      <c r="G22" s="64">
        <f>SUM('Quarterly Data 2001-2021'!W22:Z22)</f>
        <v>1.5999999999999999</v>
      </c>
      <c r="H22" s="68">
        <f>SUM('Quarterly Data 2001-2021'!AA22:AD22)</f>
        <v>0</v>
      </c>
      <c r="I22" s="41">
        <f>SUM('Quarterly Data 2001-2021'!AE22:AH22)</f>
        <v>0</v>
      </c>
      <c r="J22" s="41">
        <f>SUM('Quarterly Data 2001-2021'!AI22:AL22)</f>
        <v>0</v>
      </c>
      <c r="K22" s="41">
        <f>SUM('Quarterly Data 2001-2021'!AM22:AP22)</f>
        <v>0</v>
      </c>
      <c r="L22" s="41">
        <f>SUM('Quarterly Data 2001-2021'!AQ22:AT22)</f>
        <v>4</v>
      </c>
      <c r="M22" s="41">
        <f>SUM('Quarterly Data 2001-2021'!AU22:AX22)</f>
        <v>2</v>
      </c>
      <c r="N22" s="41">
        <f>SUM('Quarterly Data 2001-2021'!AY22:BB22)</f>
        <v>0</v>
      </c>
      <c r="O22" s="41">
        <f>SUM('Quarterly Data 2001-2021'!BC22:BF22)</f>
        <v>1.9E-2</v>
      </c>
      <c r="P22" s="41">
        <v>0</v>
      </c>
      <c r="Q22" s="41">
        <v>0</v>
      </c>
      <c r="R22" s="41">
        <v>0</v>
      </c>
      <c r="S22" s="68">
        <v>0.14191400000000001</v>
      </c>
      <c r="T22" s="68">
        <v>6.39097E-2</v>
      </c>
      <c r="U22" s="68">
        <v>9.55424E-2</v>
      </c>
      <c r="V22" s="69">
        <f t="shared" si="1"/>
        <v>-0.17264679665229044</v>
      </c>
      <c r="X22" s="421"/>
    </row>
    <row r="23" spans="1:48" s="31" customFormat="1" x14ac:dyDescent="0.2">
      <c r="A23" s="70" t="s">
        <v>99</v>
      </c>
      <c r="B23" s="78">
        <f t="shared" ref="B23:K23" si="3">SUM(B11,B12,B17,B20,B21,B22)</f>
        <v>94.899999999999991</v>
      </c>
      <c r="C23" s="73">
        <f t="shared" si="3"/>
        <v>122.60000000000004</v>
      </c>
      <c r="D23" s="73">
        <f t="shared" si="3"/>
        <v>149.542</v>
      </c>
      <c r="E23" s="73">
        <f t="shared" si="3"/>
        <v>209.816</v>
      </c>
      <c r="F23" s="73">
        <f t="shared" si="3"/>
        <v>283.85399999999998</v>
      </c>
      <c r="G23" s="73">
        <f t="shared" si="3"/>
        <v>452.8429999999999</v>
      </c>
      <c r="H23" s="79">
        <f t="shared" si="3"/>
        <v>554.47360500000013</v>
      </c>
      <c r="I23" s="79">
        <f t="shared" si="3"/>
        <v>506.10713699999991</v>
      </c>
      <c r="J23" s="79">
        <f t="shared" si="3"/>
        <v>508.88304898000001</v>
      </c>
      <c r="K23" s="79">
        <f t="shared" si="3"/>
        <v>613.75642698000001</v>
      </c>
      <c r="L23" s="79">
        <v>683.31821897999998</v>
      </c>
      <c r="M23" s="79">
        <v>551.64606494999998</v>
      </c>
      <c r="N23" s="79">
        <v>580.25356699999998</v>
      </c>
      <c r="O23" s="79">
        <v>678.01400000000001</v>
      </c>
      <c r="P23" s="79">
        <v>895.84</v>
      </c>
      <c r="Q23" s="79">
        <v>908.6</v>
      </c>
      <c r="R23" s="79">
        <v>975.49699999999996</v>
      </c>
      <c r="S23" s="79">
        <v>1048.9969341798001</v>
      </c>
      <c r="T23" s="79">
        <v>1193.4499350300016</v>
      </c>
      <c r="U23" s="79">
        <v>2348.7812406070648</v>
      </c>
      <c r="V23" s="80">
        <f t="shared" si="1"/>
        <v>0.18398479212860863</v>
      </c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  <c r="AR23" s="421"/>
      <c r="AS23" s="421"/>
      <c r="AT23" s="421"/>
      <c r="AU23" s="421"/>
      <c r="AV23" s="421"/>
    </row>
    <row r="24" spans="1:48" x14ac:dyDescent="0.2">
      <c r="A24" s="11"/>
      <c r="B24" s="8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57"/>
      <c r="N24" s="436"/>
      <c r="O24" s="436"/>
      <c r="P24" s="436"/>
      <c r="Q24" s="436"/>
      <c r="R24" s="436"/>
      <c r="S24" s="436"/>
      <c r="T24" s="436"/>
      <c r="U24" s="436"/>
      <c r="V24" s="82"/>
      <c r="X24" s="421"/>
      <c r="Y24" s="421"/>
      <c r="Z24" s="421"/>
    </row>
    <row r="25" spans="1:48" x14ac:dyDescent="0.2">
      <c r="A25" s="39" t="s">
        <v>140</v>
      </c>
      <c r="B25" s="83">
        <f>SUM('Quarterly Data 2001-2021'!C25:F25)</f>
        <v>-37.052399999999999</v>
      </c>
      <c r="C25" s="41">
        <f>SUM('Quarterly Data 2001-2021'!G25:J25)</f>
        <v>-37.646000000000001</v>
      </c>
      <c r="D25" s="41">
        <f>SUM('Quarterly Data 2001-2021'!K25:N25)</f>
        <v>-41.148000000000003</v>
      </c>
      <c r="E25" s="41">
        <f>SUM('Quarterly Data 2001-2021'!O25:R25)</f>
        <v>-47.688000000000002</v>
      </c>
      <c r="F25" s="41">
        <f>SUM('Quarterly Data 2001-2021'!S25:V25)</f>
        <v>-58.911999999999999</v>
      </c>
      <c r="G25" s="41">
        <f>SUM('Quarterly Data 2001-2021'!W25:Z25)</f>
        <v>-95.96</v>
      </c>
      <c r="H25" s="41">
        <f>SUM('Quarterly Data 2001-2021'!AA25:AD25)</f>
        <v>-119.43899879</v>
      </c>
      <c r="I25" s="41">
        <f>SUM('Quarterly Data 2001-2021'!AE25:AH25)</f>
        <v>-137.48495407000001</v>
      </c>
      <c r="J25" s="41">
        <f>SUM('Quarterly Data 2001-2021'!AI25:AL25)</f>
        <v>-128.18071938999998</v>
      </c>
      <c r="K25" s="41">
        <f>SUM('Quarterly Data 2001-2021'!AM25:AP25)</f>
        <v>-165.23130405999996</v>
      </c>
      <c r="L25" s="41">
        <f>SUM('Quarterly Data 2001-2021'!AQ25:AT25)</f>
        <v>-188.78086732</v>
      </c>
      <c r="M25" s="41">
        <f>SUM('Quarterly Data 2001-2021'!AU25:AX25)</f>
        <v>-206.90358169999996</v>
      </c>
      <c r="N25" s="41">
        <f>SUM('Quarterly Data 2001-2021'!AY25:BB25)</f>
        <v>-210.3</v>
      </c>
      <c r="O25" s="41">
        <f>SUM('Quarterly Data 2001-2021'!BC25:BF25)</f>
        <v>-233.82</v>
      </c>
      <c r="P25" s="41">
        <f>SUM('Quarterly Data 2001-2021'!BG25:BJ25)</f>
        <v>-266.18</v>
      </c>
      <c r="Q25" s="41">
        <f>SUM('Quarterly Data 2001-2021'!BK25:BN25)</f>
        <v>-290.45000000000005</v>
      </c>
      <c r="R25" s="41">
        <f>SUM('Quarterly Data 2001-2021'!BO25:BR25)</f>
        <v>-340.07999999999993</v>
      </c>
      <c r="S25" s="41">
        <f>SUM('Quarterly Data 2001-2021'!BS25:BV25)</f>
        <v>-367.34749507999982</v>
      </c>
      <c r="T25" s="41">
        <f>SUM('Quarterly Data 2001-2021'!BW25:BZ25)</f>
        <v>-414.45556788438796</v>
      </c>
      <c r="U25" s="41">
        <f>SUM('Quarterly Data 2001-2021'!CA25:CD25)</f>
        <v>-468.73503128013169</v>
      </c>
      <c r="V25" s="46">
        <f>+((U25/B25)^(1/19))-1</f>
        <v>0.14289371827955533</v>
      </c>
      <c r="X25" s="421"/>
      <c r="Y25" s="421"/>
      <c r="Z25" s="421"/>
    </row>
    <row r="26" spans="1:48" x14ac:dyDescent="0.2">
      <c r="A26" s="39" t="s">
        <v>141</v>
      </c>
      <c r="B26" s="83">
        <f>SUM('Quarterly Data 2001-2021'!C26:F26)</f>
        <v>-2.9914000000000001</v>
      </c>
      <c r="C26" s="41">
        <f>SUM('Quarterly Data 2001-2021'!G26:J26)</f>
        <v>-5.242</v>
      </c>
      <c r="D26" s="41">
        <f>SUM('Quarterly Data 2001-2021'!K26:N26)</f>
        <v>-5.5049999999999999</v>
      </c>
      <c r="E26" s="41">
        <f>SUM('Quarterly Data 2001-2021'!O26:R26)</f>
        <v>-10.077000000000002</v>
      </c>
      <c r="F26" s="41">
        <f>SUM('Quarterly Data 2001-2021'!S26:V26)</f>
        <v>-19.420000000000002</v>
      </c>
      <c r="G26" s="41">
        <f>SUM('Quarterly Data 2001-2021'!W26:Z26)</f>
        <v>-42.737000000000002</v>
      </c>
      <c r="H26" s="41">
        <f>SUM('Quarterly Data 2001-2021'!AA26:AD26)</f>
        <v>-49.399032161000001</v>
      </c>
      <c r="I26" s="41">
        <f>SUM('Quarterly Data 2001-2021'!AE26:AH26)</f>
        <v>-31.194073780000004</v>
      </c>
      <c r="J26" s="41">
        <f>SUM('Quarterly Data 2001-2021'!AI26:AL26)</f>
        <v>-22.245648760000002</v>
      </c>
      <c r="K26" s="41">
        <f>SUM('Quarterly Data 2001-2021'!AM26:AP26)</f>
        <v>-23.34395327</v>
      </c>
      <c r="L26" s="41">
        <f>SUM('Quarterly Data 2001-2021'!AQ26:AT26)</f>
        <v>-23.20240566</v>
      </c>
      <c r="M26" s="41">
        <f>SUM('Quarterly Data 2001-2021'!AU26:AX26)</f>
        <v>-20.977883630000001</v>
      </c>
      <c r="N26" s="41">
        <f>SUM('Quarterly Data 2001-2021'!AY26:BB26)</f>
        <v>-15.010000000000002</v>
      </c>
      <c r="O26" s="41">
        <f>SUM('Quarterly Data 2001-2021'!BC26:BF26)</f>
        <v>-19.57</v>
      </c>
      <c r="P26" s="41">
        <f>SUM('Quarterly Data 2001-2021'!BG26:BJ26)</f>
        <v>-18.25</v>
      </c>
      <c r="Q26" s="41">
        <f>SUM('Quarterly Data 2001-2021'!BK26:BN26)</f>
        <v>-21.66</v>
      </c>
      <c r="R26" s="41">
        <f>SUM('Quarterly Data 2001-2021'!BO26:BR26)</f>
        <v>-18.310000000000002</v>
      </c>
      <c r="S26" s="42">
        <f>SUM('Quarterly Data 2001-2021'!BS26:BV26)</f>
        <v>-16.855962690000002</v>
      </c>
      <c r="T26" s="41">
        <f>SUM('Quarterly Data 2001-2021'!BW26:BZ26)</f>
        <v>-18.586831700000001</v>
      </c>
      <c r="U26" s="41">
        <f>SUM('Quarterly Data 2001-2021'!CA26:CD26)</f>
        <v>-21.814807559999998</v>
      </c>
      <c r="V26" s="46">
        <f>+((U26/B26)^(1/19))-1</f>
        <v>0.11023412886933692</v>
      </c>
      <c r="X26" s="421"/>
      <c r="Y26" s="421"/>
      <c r="Z26" s="421"/>
    </row>
    <row r="27" spans="1:48" x14ac:dyDescent="0.2">
      <c r="A27" s="47" t="s">
        <v>31</v>
      </c>
      <c r="B27" s="83">
        <f>SUM('Quarterly Data 2001-2021'!C27:F27)</f>
        <v>-7.6270999999999987</v>
      </c>
      <c r="C27" s="41">
        <f>SUM('Quarterly Data 2001-2021'!G27:J27)</f>
        <v>-10.989000000000001</v>
      </c>
      <c r="D27" s="41">
        <f>SUM('Quarterly Data 2001-2021'!K27:N27)</f>
        <v>-5.7650000000000006</v>
      </c>
      <c r="E27" s="41">
        <f>SUM('Quarterly Data 2001-2021'!O27:R27)</f>
        <v>-4.4119999999999999</v>
      </c>
      <c r="F27" s="41">
        <f>SUM('Quarterly Data 2001-2021'!S27:V27)</f>
        <v>-6.3079999999999998</v>
      </c>
      <c r="G27" s="41">
        <f>SUM('Quarterly Data 2001-2021'!W27:Z27)</f>
        <v>-8.17</v>
      </c>
      <c r="H27" s="41">
        <f>SUM('Quarterly Data 2001-2021'!AA27:AD27)</f>
        <v>-9.7170438000000008</v>
      </c>
      <c r="I27" s="41">
        <f>SUM('Quarterly Data 2001-2021'!AE27:AH27)</f>
        <v>-12.337513403499999</v>
      </c>
      <c r="J27" s="41">
        <f>SUM('Quarterly Data 2001-2021'!AI27:AL27)</f>
        <v>-8.1172176083330001</v>
      </c>
      <c r="K27" s="41">
        <f>SUM('Quarterly Data 2001-2021'!AM27:AP27)</f>
        <v>-11.164597249107</v>
      </c>
      <c r="L27" s="41">
        <f>SUM('Quarterly Data 2001-2021'!AQ27:AT27)</f>
        <v>-11.30875874</v>
      </c>
      <c r="M27" s="41">
        <f>SUM('Quarterly Data 2001-2021'!AU27:AX27)</f>
        <v>-13.04297588</v>
      </c>
      <c r="N27" s="41">
        <f>SUM('Quarterly Data 2001-2021'!AY27:BB27)</f>
        <v>-10.11</v>
      </c>
      <c r="O27" s="41">
        <f>SUM('Quarterly Data 2001-2021'!BC27:BF27)</f>
        <v>-7.46</v>
      </c>
      <c r="P27" s="41">
        <f>SUM('Quarterly Data 2001-2021'!BG27:BJ27)</f>
        <v>-8.2200000000000006</v>
      </c>
      <c r="Q27" s="41">
        <f>SUM('Quarterly Data 2001-2021'!BK27:BN27)</f>
        <v>-8.06</v>
      </c>
      <c r="R27" s="41">
        <f>SUM('Quarterly Data 2001-2021'!BO27:BR27)</f>
        <v>-12.11</v>
      </c>
      <c r="S27" s="42">
        <f>SUM('Quarterly Data 2001-2021'!BS27:BV27)</f>
        <v>-19.655808380000028</v>
      </c>
      <c r="T27" s="41">
        <f>SUM('Quarterly Data 2001-2021'!BW27:BZ27)</f>
        <v>-63.12523814999988</v>
      </c>
      <c r="U27" s="41">
        <f>SUM('Quarterly Data 2001-2021'!CA27:CD27)</f>
        <v>-84.189470720000031</v>
      </c>
      <c r="V27" s="46">
        <f>+((U27/B27)^(1/19))-1</f>
        <v>0.13472176797736446</v>
      </c>
      <c r="X27" s="421"/>
    </row>
    <row r="28" spans="1:48" x14ac:dyDescent="0.2">
      <c r="A28" s="85" t="s">
        <v>142</v>
      </c>
      <c r="B28" s="89">
        <f>SUM('Quarterly Data 2001-2021'!C28:F28)</f>
        <v>-37.836399999999998</v>
      </c>
      <c r="C28" s="68">
        <f>SUM('Quarterly Data 2001-2021'!G28:J28)</f>
        <v>-41.747</v>
      </c>
      <c r="D28" s="68">
        <f>SUM('Quarterly Data 2001-2021'!K28:N28)</f>
        <v>-38.248999999999995</v>
      </c>
      <c r="E28" s="68">
        <f>SUM('Quarterly Data 2001-2021'!O28:R28)</f>
        <v>-46.501000000000005</v>
      </c>
      <c r="F28" s="68">
        <f>SUM('Quarterly Data 2001-2021'!S28:V28)</f>
        <v>-52.593999999999994</v>
      </c>
      <c r="G28" s="68">
        <f>SUM('Quarterly Data 2001-2021'!W28:Z28)</f>
        <v>-62.108999999999995</v>
      </c>
      <c r="H28" s="68">
        <f>SUM('Quarterly Data 2001-2021'!AA28:AD28)</f>
        <v>-68.066469290000015</v>
      </c>
      <c r="I28" s="68">
        <f>SUM('Quarterly Data 2001-2021'!AE28:AH28)</f>
        <v>-85.593984269999993</v>
      </c>
      <c r="J28" s="68">
        <f>SUM('Quarterly Data 2001-2021'!AI28:AL28)</f>
        <v>-70.338943659999998</v>
      </c>
      <c r="K28" s="68">
        <f>SUM('Quarterly Data 2001-2021'!AM28:AP28)</f>
        <v>-82.813340600000004</v>
      </c>
      <c r="L28" s="68">
        <f>SUM('Quarterly Data 2001-2021'!AQ28:AT28)</f>
        <v>-113.22397518</v>
      </c>
      <c r="M28" s="68">
        <f>SUM('Quarterly Data 2001-2021'!AU28:AX28)</f>
        <v>-108.757478679736</v>
      </c>
      <c r="N28" s="68">
        <f>SUM('Quarterly Data 2001-2021'!AY28:BB28)</f>
        <v>-117.52000000000001</v>
      </c>
      <c r="O28" s="68">
        <f>SUM('Quarterly Data 2001-2021'!BC28:BF28)</f>
        <v>-121.88999999999999</v>
      </c>
      <c r="P28" s="68">
        <f>SUM('Quarterly Data 2001-2021'!BG28:BJ28)</f>
        <v>-118.36</v>
      </c>
      <c r="Q28" s="68">
        <f>SUM('Quarterly Data 2001-2021'!BK28:BN28)</f>
        <v>-123.07999999999998</v>
      </c>
      <c r="R28" s="68">
        <f>SUM('Quarterly Data 2001-2021'!BO28:BR28)</f>
        <v>-164.35000000000002</v>
      </c>
      <c r="S28" s="86">
        <f>SUM('Quarterly Data 2001-2021'!BS28:BV28)</f>
        <v>-225.44096569729501</v>
      </c>
      <c r="T28" s="32">
        <f>SUM('Quarterly Data 2001-2021'!BW28:BZ28)</f>
        <v>-169.35445757205861</v>
      </c>
      <c r="U28" s="32">
        <f>SUM('Quarterly Data 2001-2021'!CA28:CD28)</f>
        <v>-187.85353861902178</v>
      </c>
      <c r="V28" s="108">
        <f>+((U28/B28)^(1/19))-1</f>
        <v>8.7994799763860376E-2</v>
      </c>
      <c r="X28" s="421"/>
    </row>
    <row r="29" spans="1:48" s="31" customFormat="1" ht="15" x14ac:dyDescent="0.2">
      <c r="A29" s="70" t="s">
        <v>194</v>
      </c>
      <c r="B29" s="91">
        <f t="shared" ref="B29:N29" si="4">SUM(B25:B28)</f>
        <v>-85.507299999999987</v>
      </c>
      <c r="C29" s="72">
        <f t="shared" si="4"/>
        <v>-95.623999999999995</v>
      </c>
      <c r="D29" s="72">
        <f t="shared" si="4"/>
        <v>-90.667000000000002</v>
      </c>
      <c r="E29" s="72">
        <f t="shared" si="4"/>
        <v>-108.678</v>
      </c>
      <c r="F29" s="72">
        <f t="shared" si="4"/>
        <v>-137.23399999999998</v>
      </c>
      <c r="G29" s="72">
        <f t="shared" si="4"/>
        <v>-208.976</v>
      </c>
      <c r="H29" s="72">
        <f t="shared" si="4"/>
        <v>-246.62154404100002</v>
      </c>
      <c r="I29" s="72">
        <f t="shared" si="4"/>
        <v>-266.61052552349997</v>
      </c>
      <c r="J29" s="72">
        <f t="shared" si="4"/>
        <v>-228.88252941833298</v>
      </c>
      <c r="K29" s="72">
        <f t="shared" si="4"/>
        <v>-282.55319517910698</v>
      </c>
      <c r="L29" s="72">
        <f t="shared" si="4"/>
        <v>-336.51600689999998</v>
      </c>
      <c r="M29" s="72">
        <f t="shared" si="4"/>
        <v>-349.68191988973598</v>
      </c>
      <c r="N29" s="72">
        <f t="shared" si="4"/>
        <v>-352.94000000000005</v>
      </c>
      <c r="O29" s="72">
        <f>SUM(O25:O28)</f>
        <v>-382.73999999999995</v>
      </c>
      <c r="P29" s="90">
        <v>-411</v>
      </c>
      <c r="Q29" s="90">
        <v>-443.2</v>
      </c>
      <c r="R29" s="90">
        <v>-534.79999999999995</v>
      </c>
      <c r="S29" s="90">
        <f>SUM(S25:S28)</f>
        <v>-629.30023184729487</v>
      </c>
      <c r="T29" s="73">
        <f>SUM(T25:T28)</f>
        <v>-665.52209530644643</v>
      </c>
      <c r="U29" s="73">
        <f>SUM(U25:U28)</f>
        <v>-762.59284817915341</v>
      </c>
      <c r="V29" s="341">
        <f>+((U29/B29)^(1/19))-1</f>
        <v>0.12205782475491067</v>
      </c>
      <c r="W29" s="422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</row>
    <row r="30" spans="1:48" s="31" customFormat="1" x14ac:dyDescent="0.2">
      <c r="A30" s="70"/>
      <c r="B30" s="9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321"/>
      <c r="O30" s="321"/>
      <c r="P30" s="321"/>
      <c r="Q30" s="321"/>
      <c r="R30" s="321"/>
      <c r="S30" s="75"/>
      <c r="T30" s="75"/>
      <c r="U30" s="75"/>
      <c r="V30" s="92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</row>
    <row r="31" spans="1:48" s="31" customFormat="1" x14ac:dyDescent="0.2">
      <c r="A31" s="8" t="s">
        <v>100</v>
      </c>
      <c r="B31" s="78">
        <f t="shared" ref="B31:O31" si="5">SUM(B23,B29)</f>
        <v>9.3927000000000049</v>
      </c>
      <c r="C31" s="73">
        <f t="shared" si="5"/>
        <v>26.976000000000042</v>
      </c>
      <c r="D31" s="73">
        <f t="shared" si="5"/>
        <v>58.875</v>
      </c>
      <c r="E31" s="73">
        <f t="shared" si="5"/>
        <v>101.13800000000001</v>
      </c>
      <c r="F31" s="73">
        <f t="shared" si="5"/>
        <v>146.62</v>
      </c>
      <c r="G31" s="73">
        <f t="shared" si="5"/>
        <v>243.8669999999999</v>
      </c>
      <c r="H31" s="73">
        <f t="shared" si="5"/>
        <v>307.85206095900014</v>
      </c>
      <c r="I31" s="73">
        <f t="shared" si="5"/>
        <v>239.49661147649994</v>
      </c>
      <c r="J31" s="73">
        <f t="shared" si="5"/>
        <v>280.00051956166703</v>
      </c>
      <c r="K31" s="73">
        <f t="shared" si="5"/>
        <v>331.20323180089304</v>
      </c>
      <c r="L31" s="73">
        <f t="shared" si="5"/>
        <v>346.80221208</v>
      </c>
      <c r="M31" s="73">
        <f t="shared" si="5"/>
        <v>201.964145060264</v>
      </c>
      <c r="N31" s="73">
        <f t="shared" si="5"/>
        <v>227.31356699999992</v>
      </c>
      <c r="O31" s="73">
        <f t="shared" si="5"/>
        <v>295.27400000000006</v>
      </c>
      <c r="P31" s="73">
        <v>484.8</v>
      </c>
      <c r="Q31" s="73">
        <v>465.4</v>
      </c>
      <c r="R31" s="73">
        <v>440.66</v>
      </c>
      <c r="S31" s="73">
        <f>454.683236949408-35</f>
        <v>419.68323694940801</v>
      </c>
      <c r="T31" s="73">
        <f>SUM(T23,T29)</f>
        <v>527.92783972355517</v>
      </c>
      <c r="U31" s="73">
        <f>SUM(U23,U29)</f>
        <v>1586.1883924279114</v>
      </c>
      <c r="V31" s="80">
        <f>+((U31/B31)^(1/19))-1</f>
        <v>0.30990628877198589</v>
      </c>
      <c r="W31" s="421"/>
      <c r="X31" s="421"/>
      <c r="Y31" s="422"/>
      <c r="Z31" s="422"/>
      <c r="AA31" s="422"/>
      <c r="AB31" s="422"/>
      <c r="AC31" s="422"/>
      <c r="AD31" s="422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</row>
    <row r="32" spans="1:48" s="31" customFormat="1" x14ac:dyDescent="0.2">
      <c r="A32" s="70"/>
      <c r="B32" s="9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5"/>
      <c r="T32" s="75"/>
      <c r="U32" s="75"/>
      <c r="V32" s="80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1"/>
      <c r="AJ32" s="421"/>
      <c r="AK32" s="421"/>
      <c r="AL32" s="421"/>
      <c r="AM32" s="421"/>
      <c r="AN32" s="421"/>
      <c r="AO32" s="421"/>
      <c r="AP32" s="421"/>
      <c r="AQ32" s="421"/>
      <c r="AR32" s="421"/>
      <c r="AS32" s="421"/>
      <c r="AT32" s="421"/>
      <c r="AU32" s="421"/>
      <c r="AV32" s="421"/>
    </row>
    <row r="33" spans="1:48" x14ac:dyDescent="0.2">
      <c r="A33" s="39" t="s">
        <v>101</v>
      </c>
      <c r="B33" s="83">
        <f>SUM('Quarterly Data 2001-2021'!C33:F33)</f>
        <v>0</v>
      </c>
      <c r="C33" s="41">
        <f>SUM('Quarterly Data 2001-2021'!G33:J33)</f>
        <v>-0.1</v>
      </c>
      <c r="D33" s="41">
        <f>SUM('Quarterly Data 2001-2021'!K33:N33)</f>
        <v>0</v>
      </c>
      <c r="E33" s="41">
        <f>SUM('Quarterly Data 2001-2021'!O33:R33)</f>
        <v>0</v>
      </c>
      <c r="F33" s="41">
        <f>SUM('Quarterly Data 2001-2021'!S33:V33)</f>
        <v>0.1</v>
      </c>
      <c r="G33" s="41">
        <f>SUM('Quarterly Data 2001-2021'!W33:Z33)</f>
        <v>0</v>
      </c>
      <c r="H33" s="41">
        <f>SUM('Quarterly Data 2001-2021'!AA33:AD33)</f>
        <v>-1.45</v>
      </c>
      <c r="I33" s="41">
        <f>SUM('Quarterly Data 2001-2021'!AE33:AH33)</f>
        <v>0</v>
      </c>
      <c r="J33" s="41">
        <f>SUM('Quarterly Data 2001-2021'!AI33:AL33)</f>
        <v>0</v>
      </c>
      <c r="K33" s="41">
        <f>SUM('Quarterly Data 2001-2021'!AM33:AP33)</f>
        <v>0</v>
      </c>
      <c r="L33" s="41">
        <f>SUM('Quarterly Data 2001-2021'!AQ33:AT33)</f>
        <v>-6</v>
      </c>
      <c r="M33" s="41">
        <f>SUM('Quarterly Data 2001-2021'!AU33:AX33)</f>
        <v>-1</v>
      </c>
      <c r="N33" s="41">
        <f>SUM('Quarterly Data 2001-2021'!AY33:BB33)</f>
        <v>-1</v>
      </c>
      <c r="O33" s="41">
        <f>SUM('Quarterly Data 2001-2021'!BC33:BF33)</f>
        <v>0.4</v>
      </c>
      <c r="P33" s="41">
        <v>-0.2</v>
      </c>
      <c r="Q33" s="41">
        <v>-0.5</v>
      </c>
      <c r="R33" s="41">
        <v>0</v>
      </c>
      <c r="S33" s="42">
        <v>-1.16097629</v>
      </c>
      <c r="T33" s="42">
        <v>0.32980080000000073</v>
      </c>
      <c r="U33" s="42">
        <v>-3.8714396299999989</v>
      </c>
      <c r="V33" s="46" t="s">
        <v>37</v>
      </c>
      <c r="X33" s="421"/>
      <c r="Y33" s="429"/>
    </row>
    <row r="34" spans="1:48" x14ac:dyDescent="0.2">
      <c r="A34" s="13" t="s">
        <v>179</v>
      </c>
      <c r="B34" s="67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323"/>
      <c r="P34" s="323"/>
      <c r="Q34" s="323"/>
      <c r="R34" s="323"/>
      <c r="S34" s="65">
        <v>-0.6552</v>
      </c>
      <c r="T34" s="65">
        <v>-8.2419469999999997</v>
      </c>
      <c r="U34" s="65">
        <v>-5.8282509999999998</v>
      </c>
      <c r="V34" s="93" t="s">
        <v>37</v>
      </c>
      <c r="X34" s="421"/>
    </row>
    <row r="35" spans="1:48" s="31" customFormat="1" ht="15" x14ac:dyDescent="0.2">
      <c r="A35" s="70" t="s">
        <v>195</v>
      </c>
      <c r="B35" s="91">
        <f t="shared" ref="B35:O35" si="6">SUM(B31,B33)</f>
        <v>9.3927000000000049</v>
      </c>
      <c r="C35" s="72">
        <f t="shared" si="6"/>
        <v>26.87600000000004</v>
      </c>
      <c r="D35" s="72">
        <f t="shared" si="6"/>
        <v>58.875</v>
      </c>
      <c r="E35" s="72">
        <f t="shared" si="6"/>
        <v>101.13800000000001</v>
      </c>
      <c r="F35" s="72">
        <f t="shared" si="6"/>
        <v>146.72</v>
      </c>
      <c r="G35" s="72">
        <f t="shared" si="6"/>
        <v>243.8669999999999</v>
      </c>
      <c r="H35" s="72">
        <f t="shared" si="6"/>
        <v>306.40206095900015</v>
      </c>
      <c r="I35" s="72">
        <f t="shared" si="6"/>
        <v>239.49661147649994</v>
      </c>
      <c r="J35" s="72">
        <f t="shared" si="6"/>
        <v>280.00051956166703</v>
      </c>
      <c r="K35" s="72">
        <f t="shared" si="6"/>
        <v>331.20323180089304</v>
      </c>
      <c r="L35" s="72">
        <f t="shared" si="6"/>
        <v>340.80221208</v>
      </c>
      <c r="M35" s="72">
        <f t="shared" si="6"/>
        <v>200.964145060264</v>
      </c>
      <c r="N35" s="72">
        <f t="shared" si="6"/>
        <v>226.31356699999992</v>
      </c>
      <c r="O35" s="90">
        <f t="shared" si="6"/>
        <v>295.67400000000004</v>
      </c>
      <c r="P35" s="90">
        <v>484.6</v>
      </c>
      <c r="Q35" s="90">
        <v>464.9</v>
      </c>
      <c r="R35" s="90">
        <v>441</v>
      </c>
      <c r="S35" s="90">
        <v>417.86706065940803</v>
      </c>
      <c r="T35" s="90">
        <f>SUM(T31,T33,T34)</f>
        <v>520.01569352355523</v>
      </c>
      <c r="U35" s="90">
        <f>SUM(U31,U33,U34)</f>
        <v>1576.4887017979115</v>
      </c>
      <c r="V35" s="80">
        <f>+((U35/B35)^(1/19))-1</f>
        <v>0.30948347325984438</v>
      </c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1"/>
      <c r="AL35" s="421"/>
      <c r="AM35" s="421"/>
      <c r="AN35" s="421"/>
      <c r="AO35" s="421"/>
      <c r="AP35" s="421"/>
      <c r="AQ35" s="421"/>
      <c r="AR35" s="421"/>
      <c r="AS35" s="421"/>
      <c r="AT35" s="421"/>
      <c r="AU35" s="421"/>
      <c r="AV35" s="421"/>
    </row>
    <row r="36" spans="1:48" s="446" customFormat="1" x14ac:dyDescent="0.2">
      <c r="A36" s="437" t="s">
        <v>200</v>
      </c>
      <c r="B36" s="447">
        <f>+B23+B29+B33+B34</f>
        <v>9.3927000000000049</v>
      </c>
      <c r="C36" s="439">
        <f t="shared" ref="C36:R36" si="7">+C23+C29+C33+C34</f>
        <v>26.87600000000004</v>
      </c>
      <c r="D36" s="439">
        <f t="shared" si="7"/>
        <v>58.875</v>
      </c>
      <c r="E36" s="439">
        <f t="shared" si="7"/>
        <v>101.13800000000001</v>
      </c>
      <c r="F36" s="439">
        <f t="shared" si="7"/>
        <v>146.72</v>
      </c>
      <c r="G36" s="439">
        <f t="shared" si="7"/>
        <v>243.8669999999999</v>
      </c>
      <c r="H36" s="439">
        <f t="shared" si="7"/>
        <v>306.40206095900015</v>
      </c>
      <c r="I36" s="439">
        <f t="shared" si="7"/>
        <v>239.49661147649994</v>
      </c>
      <c r="J36" s="439">
        <f t="shared" si="7"/>
        <v>280.00051956166703</v>
      </c>
      <c r="K36" s="439">
        <f t="shared" si="7"/>
        <v>331.20323180089304</v>
      </c>
      <c r="L36" s="439">
        <f t="shared" si="7"/>
        <v>340.80221208</v>
      </c>
      <c r="M36" s="439">
        <f t="shared" si="7"/>
        <v>200.964145060264</v>
      </c>
      <c r="N36" s="439">
        <f t="shared" si="7"/>
        <v>226.31356699999992</v>
      </c>
      <c r="O36" s="448">
        <f t="shared" si="7"/>
        <v>295.67400000000004</v>
      </c>
      <c r="P36" s="448">
        <f t="shared" si="7"/>
        <v>484.64000000000004</v>
      </c>
      <c r="Q36" s="448">
        <f t="shared" si="7"/>
        <v>464.90000000000003</v>
      </c>
      <c r="R36" s="448">
        <f t="shared" si="7"/>
        <v>440.697</v>
      </c>
      <c r="S36" s="448">
        <f>+S23+(S29+35)+S33+S34</f>
        <v>452.88052604250521</v>
      </c>
      <c r="T36" s="448">
        <f>+T23+(T29+8.3)+T33+T34</f>
        <v>528.31569352355518</v>
      </c>
      <c r="U36" s="441">
        <f>+(U23-63)+(U29+16+13)+U33+U34</f>
        <v>1542.4887017979115</v>
      </c>
      <c r="V36" s="449"/>
      <c r="W36" s="450"/>
      <c r="X36" s="450"/>
      <c r="Y36" s="450"/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0"/>
      <c r="AM36" s="450"/>
      <c r="AN36" s="450"/>
      <c r="AO36" s="450"/>
      <c r="AP36" s="450"/>
      <c r="AQ36" s="450"/>
      <c r="AR36" s="450"/>
      <c r="AS36" s="450"/>
      <c r="AT36" s="450"/>
      <c r="AU36" s="450"/>
      <c r="AV36" s="450"/>
    </row>
    <row r="37" spans="1:48" s="31" customFormat="1" x14ac:dyDescent="0.2">
      <c r="A37" s="70"/>
      <c r="B37" s="8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90"/>
      <c r="T37" s="33"/>
      <c r="U37" s="33"/>
      <c r="V37" s="82"/>
      <c r="W37" s="421"/>
      <c r="X37" s="421"/>
      <c r="Y37" s="421"/>
      <c r="Z37" s="421"/>
      <c r="AA37" s="421"/>
      <c r="AB37" s="421"/>
      <c r="AC37" s="421"/>
      <c r="AD37" s="421"/>
      <c r="AE37" s="421"/>
      <c r="AF37" s="421"/>
      <c r="AG37" s="421"/>
      <c r="AH37" s="421"/>
      <c r="AI37" s="421"/>
      <c r="AJ37" s="421"/>
      <c r="AK37" s="421"/>
      <c r="AL37" s="421"/>
      <c r="AM37" s="421"/>
      <c r="AN37" s="421"/>
      <c r="AO37" s="421"/>
      <c r="AP37" s="421"/>
      <c r="AQ37" s="421"/>
      <c r="AR37" s="421"/>
      <c r="AS37" s="421"/>
      <c r="AT37" s="421"/>
      <c r="AU37" s="421"/>
      <c r="AV37" s="421"/>
    </row>
    <row r="38" spans="1:48" x14ac:dyDescent="0.2">
      <c r="A38" s="13" t="s">
        <v>201</v>
      </c>
      <c r="B38" s="67">
        <f>SUM('Quarterly Data 2001-2021'!C38:F38)</f>
        <v>-2.6299560000000017</v>
      </c>
      <c r="C38" s="64">
        <f>SUM('Quarterly Data 2001-2021'!G38:J38)</f>
        <v>-7.5252800000000004</v>
      </c>
      <c r="D38" s="64">
        <f>SUM('Quarterly Data 2001-2021'!K38:N38)</f>
        <v>-16.484999999999999</v>
      </c>
      <c r="E38" s="64">
        <f>SUM('Quarterly Data 2001-2021'!O38:R38)</f>
        <v>-28.318640000000002</v>
      </c>
      <c r="F38" s="64">
        <f>SUM('Quarterly Data 2001-2021'!S38:V38)</f>
        <v>-40.76</v>
      </c>
      <c r="G38" s="64">
        <f>SUM('Quarterly Data 2001-2021'!W38:Z38)</f>
        <v>-55.8</v>
      </c>
      <c r="H38" s="64">
        <f>SUM('Quarterly Data 2001-2021'!AA38:AD38)</f>
        <v>-74.400000000000006</v>
      </c>
      <c r="I38" s="64">
        <f>SUM('Quarterly Data 2001-2021'!AE38:AH38)</f>
        <v>-54</v>
      </c>
      <c r="J38" s="64">
        <f>SUM('Quarterly Data 2001-2021'!AI38:AL38)</f>
        <v>-51.8</v>
      </c>
      <c r="K38" s="64">
        <f>SUM('Quarterly Data 2001-2021'!AM38:AP38)</f>
        <v>-60</v>
      </c>
      <c r="L38" s="64">
        <f>SUM('Quarterly Data 2001-2021'!AQ38:AT38)</f>
        <v>-50</v>
      </c>
      <c r="M38" s="64">
        <v>-41</v>
      </c>
      <c r="N38" s="64">
        <f>SUM('Quarterly Data 2001-2021'!AY38:BB38)</f>
        <v>-33</v>
      </c>
      <c r="O38" s="64">
        <f>SUM('Quarterly Data 2001-2021'!BC38:BF38)</f>
        <v>-46.129999999999995</v>
      </c>
      <c r="P38" s="64">
        <v>-69.7</v>
      </c>
      <c r="Q38" s="64">
        <v>-66</v>
      </c>
      <c r="R38" s="64">
        <v>-63</v>
      </c>
      <c r="S38" s="65">
        <v>-68.796785</v>
      </c>
      <c r="T38" s="65">
        <v>-73.082880309999993</v>
      </c>
      <c r="U38" s="65">
        <v>-241.88447693999998</v>
      </c>
      <c r="V38" s="95">
        <f>+((U38/B38)^(1/19))-1</f>
        <v>0.26867534733041865</v>
      </c>
    </row>
    <row r="39" spans="1:48" s="31" customFormat="1" x14ac:dyDescent="0.2">
      <c r="A39" s="70" t="s">
        <v>32</v>
      </c>
      <c r="B39" s="91">
        <f t="shared" ref="B39:O39" si="8">+B35+B38</f>
        <v>6.7627440000000032</v>
      </c>
      <c r="C39" s="72">
        <f t="shared" si="8"/>
        <v>19.350720000000038</v>
      </c>
      <c r="D39" s="72">
        <f t="shared" si="8"/>
        <v>42.39</v>
      </c>
      <c r="E39" s="72">
        <f t="shared" si="8"/>
        <v>72.819360000000003</v>
      </c>
      <c r="F39" s="72">
        <f t="shared" si="8"/>
        <v>105.96000000000001</v>
      </c>
      <c r="G39" s="72">
        <f t="shared" si="8"/>
        <v>188.06699999999989</v>
      </c>
      <c r="H39" s="72">
        <f t="shared" si="8"/>
        <v>232.00206095900015</v>
      </c>
      <c r="I39" s="72">
        <f t="shared" si="8"/>
        <v>185.49661147649994</v>
      </c>
      <c r="J39" s="72">
        <f t="shared" si="8"/>
        <v>228.20051956166702</v>
      </c>
      <c r="K39" s="72">
        <f t="shared" si="8"/>
        <v>271.20323180089304</v>
      </c>
      <c r="L39" s="72">
        <f t="shared" si="8"/>
        <v>290.80221208</v>
      </c>
      <c r="M39" s="72">
        <f t="shared" si="8"/>
        <v>159.964145060264</v>
      </c>
      <c r="N39" s="72">
        <f t="shared" si="8"/>
        <v>193.31356699999992</v>
      </c>
      <c r="O39" s="90">
        <f t="shared" si="8"/>
        <v>249.54400000000004</v>
      </c>
      <c r="P39" s="90">
        <f t="shared" ref="P39:U39" si="9">+P35+P38</f>
        <v>414.90000000000003</v>
      </c>
      <c r="Q39" s="90">
        <f t="shared" si="9"/>
        <v>398.9</v>
      </c>
      <c r="R39" s="90">
        <f t="shared" si="9"/>
        <v>378</v>
      </c>
      <c r="S39" s="90">
        <f t="shared" si="9"/>
        <v>349.07027565940803</v>
      </c>
      <c r="T39" s="90">
        <f t="shared" si="9"/>
        <v>446.93281321355522</v>
      </c>
      <c r="U39" s="90">
        <f t="shared" si="9"/>
        <v>1334.6042248579115</v>
      </c>
      <c r="V39" s="80">
        <f>+((U39/B39)^(1/19))-1</f>
        <v>0.32069202431422528</v>
      </c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1"/>
      <c r="AN39" s="421"/>
      <c r="AO39" s="421"/>
      <c r="AP39" s="421"/>
      <c r="AQ39" s="421"/>
      <c r="AR39" s="421"/>
      <c r="AS39" s="421"/>
      <c r="AT39" s="421"/>
      <c r="AU39" s="421"/>
      <c r="AV39" s="421"/>
    </row>
    <row r="40" spans="1:48" x14ac:dyDescent="0.2">
      <c r="A40" s="11"/>
      <c r="B40" s="8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3"/>
      <c r="R40" s="33"/>
      <c r="S40" s="33"/>
      <c r="T40" s="33"/>
      <c r="U40" s="33"/>
      <c r="V40" s="82"/>
    </row>
    <row r="41" spans="1:48" x14ac:dyDescent="0.2">
      <c r="A41" s="11"/>
      <c r="B41" s="8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3"/>
      <c r="R41" s="33"/>
      <c r="S41" s="33"/>
      <c r="T41" s="33"/>
      <c r="U41" s="33"/>
      <c r="V41" s="82"/>
    </row>
    <row r="42" spans="1:48" x14ac:dyDescent="0.2">
      <c r="A42" s="304" t="s">
        <v>155</v>
      </c>
      <c r="B42" s="8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107"/>
      <c r="Q42" s="119"/>
      <c r="R42" s="119"/>
      <c r="S42" s="324"/>
      <c r="T42" s="324"/>
      <c r="U42" s="324"/>
      <c r="V42" s="38"/>
    </row>
    <row r="43" spans="1:48" x14ac:dyDescent="0.2">
      <c r="A43" s="39" t="s">
        <v>42</v>
      </c>
      <c r="B43" s="172">
        <f t="shared" ref="B43:U43" si="10">+B35/B23</f>
        <v>9.8974710221285622E-2</v>
      </c>
      <c r="C43" s="169">
        <f t="shared" si="10"/>
        <v>0.2192169657422515</v>
      </c>
      <c r="D43" s="169">
        <f t="shared" si="10"/>
        <v>0.39370210375680409</v>
      </c>
      <c r="E43" s="169">
        <f t="shared" si="10"/>
        <v>0.48203187554809929</v>
      </c>
      <c r="F43" s="169">
        <f t="shared" si="10"/>
        <v>0.51688544110704804</v>
      </c>
      <c r="G43" s="169">
        <f t="shared" si="10"/>
        <v>0.53852438924748747</v>
      </c>
      <c r="H43" s="169">
        <f t="shared" si="10"/>
        <v>0.55259990411806903</v>
      </c>
      <c r="I43" s="169">
        <f t="shared" si="10"/>
        <v>0.47321326645607048</v>
      </c>
      <c r="J43" s="169">
        <f t="shared" si="10"/>
        <v>0.55022567586579518</v>
      </c>
      <c r="K43" s="169">
        <f t="shared" si="10"/>
        <v>0.5396330160330618</v>
      </c>
      <c r="L43" s="169">
        <f t="shared" si="10"/>
        <v>0.49874597605303267</v>
      </c>
      <c r="M43" s="169">
        <f t="shared" si="10"/>
        <v>0.36429906389068317</v>
      </c>
      <c r="N43" s="169">
        <f t="shared" si="10"/>
        <v>0.39002529216679493</v>
      </c>
      <c r="O43" s="169">
        <f t="shared" si="10"/>
        <v>0.43608834035875371</v>
      </c>
      <c r="P43" s="169">
        <f t="shared" si="10"/>
        <v>0.54094481157349528</v>
      </c>
      <c r="Q43" s="169">
        <f t="shared" si="10"/>
        <v>0.51166629980189293</v>
      </c>
      <c r="R43" s="169">
        <f t="shared" si="10"/>
        <v>0.4520772488280333</v>
      </c>
      <c r="S43" s="169">
        <f t="shared" si="10"/>
        <v>0.39834917247506924</v>
      </c>
      <c r="T43" s="169">
        <f t="shared" si="10"/>
        <v>0.43572476587422393</v>
      </c>
      <c r="U43" s="169">
        <f t="shared" si="10"/>
        <v>0.67119435158229257</v>
      </c>
      <c r="V43" s="46" t="s">
        <v>37</v>
      </c>
    </row>
    <row r="44" spans="1:48" x14ac:dyDescent="0.2">
      <c r="A44" s="39" t="s">
        <v>154</v>
      </c>
      <c r="B44" s="172">
        <f t="shared" ref="B44:U44" si="11">+B39/B23</f>
        <v>7.1261791359325644E-2</v>
      </c>
      <c r="C44" s="169">
        <f t="shared" si="11"/>
        <v>0.15783621533442113</v>
      </c>
      <c r="D44" s="169">
        <f t="shared" si="11"/>
        <v>0.28346551470489895</v>
      </c>
      <c r="E44" s="169">
        <f t="shared" si="11"/>
        <v>0.34706295039463148</v>
      </c>
      <c r="F44" s="169">
        <f t="shared" si="11"/>
        <v>0.37329049440909767</v>
      </c>
      <c r="G44" s="169">
        <f t="shared" si="11"/>
        <v>0.41530287538948363</v>
      </c>
      <c r="H44" s="169">
        <f t="shared" si="11"/>
        <v>0.41841858452216152</v>
      </c>
      <c r="I44" s="169">
        <f t="shared" si="11"/>
        <v>0.36651649011719029</v>
      </c>
      <c r="J44" s="169">
        <f t="shared" si="11"/>
        <v>0.44843411471274158</v>
      </c>
      <c r="K44" s="169">
        <f t="shared" si="11"/>
        <v>0.44187436559378063</v>
      </c>
      <c r="L44" s="169">
        <f t="shared" si="11"/>
        <v>0.42557362587826958</v>
      </c>
      <c r="M44" s="169">
        <f t="shared" si="11"/>
        <v>0.2899760466428104</v>
      </c>
      <c r="N44" s="169">
        <f t="shared" si="11"/>
        <v>0.33315360386229204</v>
      </c>
      <c r="O44" s="169">
        <f t="shared" si="11"/>
        <v>0.3680513971687901</v>
      </c>
      <c r="P44" s="169">
        <f t="shared" si="11"/>
        <v>0.46314073941775319</v>
      </c>
      <c r="Q44" s="169">
        <f t="shared" si="11"/>
        <v>0.43902707462029494</v>
      </c>
      <c r="R44" s="169">
        <f t="shared" si="11"/>
        <v>0.38749478470974286</v>
      </c>
      <c r="S44" s="169">
        <f t="shared" si="11"/>
        <v>0.3327657729832571</v>
      </c>
      <c r="T44" s="169">
        <f t="shared" si="11"/>
        <v>0.37448811223264256</v>
      </c>
      <c r="U44" s="169">
        <f t="shared" si="11"/>
        <v>0.56821137779224185</v>
      </c>
      <c r="V44" s="46" t="s">
        <v>37</v>
      </c>
    </row>
    <row r="45" spans="1:48" x14ac:dyDescent="0.2">
      <c r="A45" s="47" t="s">
        <v>33</v>
      </c>
      <c r="B45" s="133">
        <f t="shared" ref="B45:U45" si="12">-(B12+B17+B20+B21+B22)/B29</f>
        <v>0.50405053135814148</v>
      </c>
      <c r="C45" s="130">
        <f t="shared" si="12"/>
        <v>0.55216263699489676</v>
      </c>
      <c r="D45" s="130">
        <f t="shared" si="12"/>
        <v>0.66774019213164659</v>
      </c>
      <c r="E45" s="130">
        <f t="shared" si="12"/>
        <v>0.79791678168534563</v>
      </c>
      <c r="F45" s="130">
        <f t="shared" si="12"/>
        <v>0.94476587434600767</v>
      </c>
      <c r="G45" s="130">
        <f t="shared" si="12"/>
        <v>1.0199400888140262</v>
      </c>
      <c r="H45" s="130">
        <f t="shared" si="12"/>
        <v>1.2118106151760843</v>
      </c>
      <c r="I45" s="130">
        <f t="shared" si="12"/>
        <v>1.0381328211125105</v>
      </c>
      <c r="J45" s="130">
        <f t="shared" si="12"/>
        <v>0.91319354741130565</v>
      </c>
      <c r="K45" s="130">
        <f t="shared" si="12"/>
        <v>1.0081514979840631</v>
      </c>
      <c r="L45" s="130">
        <f t="shared" si="12"/>
        <v>1.1205654745928819</v>
      </c>
      <c r="M45" s="130">
        <f t="shared" si="12"/>
        <v>0.95700133725965242</v>
      </c>
      <c r="N45" s="130">
        <f t="shared" si="12"/>
        <v>0.94705493001643315</v>
      </c>
      <c r="O45" s="130">
        <f t="shared" si="12"/>
        <v>1.025014370068454</v>
      </c>
      <c r="P45" s="130">
        <f t="shared" si="12"/>
        <v>1.0153284671532847</v>
      </c>
      <c r="Q45" s="130">
        <f t="shared" si="12"/>
        <v>0.9908619133574007</v>
      </c>
      <c r="R45" s="130">
        <f t="shared" si="12"/>
        <v>0.98405946148092771</v>
      </c>
      <c r="S45" s="130">
        <f t="shared" si="12"/>
        <v>0.97466487161383497</v>
      </c>
      <c r="T45" s="130">
        <f t="shared" si="12"/>
        <v>1.0932346704957736</v>
      </c>
      <c r="U45" s="130">
        <f t="shared" si="12"/>
        <v>1.6348667002505182</v>
      </c>
      <c r="V45" s="96" t="s">
        <v>37</v>
      </c>
    </row>
    <row r="46" spans="1:48" hidden="1" x14ac:dyDescent="0.2">
      <c r="A46" s="13"/>
      <c r="B46" s="179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93" t="e">
        <f>+((Q46/B46)^(1/15))-1</f>
        <v>#DIV/0!</v>
      </c>
    </row>
    <row r="47" spans="1:48" hidden="1" x14ac:dyDescent="0.2">
      <c r="A47" s="8" t="s">
        <v>25</v>
      </c>
      <c r="B47" s="186" t="s">
        <v>40</v>
      </c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7" t="e">
        <f>+((Q47/B47)^(1/15))-1</f>
        <v>#VALUE!</v>
      </c>
    </row>
    <row r="48" spans="1:48" hidden="1" x14ac:dyDescent="0.2">
      <c r="A48" s="11"/>
      <c r="B48" s="193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94" t="e">
        <f>+((Q48/B48)^(1/15))-1</f>
        <v>#DIV/0!</v>
      </c>
    </row>
    <row r="49" spans="1:48" hidden="1" x14ac:dyDescent="0.2">
      <c r="A49" s="25"/>
      <c r="B49" s="199">
        <v>2001</v>
      </c>
      <c r="C49" s="27">
        <v>2002</v>
      </c>
      <c r="D49" s="27">
        <v>2003</v>
      </c>
      <c r="E49" s="27">
        <v>2004</v>
      </c>
      <c r="F49" s="27">
        <v>2005</v>
      </c>
      <c r="G49" s="27">
        <v>2006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0">
        <f>+((Q49/B49)^(1/15))-1</f>
        <v>-1</v>
      </c>
    </row>
    <row r="50" spans="1:48" x14ac:dyDescent="0.2">
      <c r="A50" s="11" t="s">
        <v>109</v>
      </c>
      <c r="B50" s="204">
        <f t="shared" ref="B50:U50" si="13">-B29/B23</f>
        <v>0.90102528977871432</v>
      </c>
      <c r="C50" s="200">
        <f t="shared" si="13"/>
        <v>0.77996737357259349</v>
      </c>
      <c r="D50" s="200">
        <f t="shared" si="13"/>
        <v>0.60629789624319586</v>
      </c>
      <c r="E50" s="200">
        <f t="shared" si="13"/>
        <v>0.51796812445190066</v>
      </c>
      <c r="F50" s="200">
        <f t="shared" si="13"/>
        <v>0.483466852677785</v>
      </c>
      <c r="G50" s="200">
        <f t="shared" si="13"/>
        <v>0.46147561075251253</v>
      </c>
      <c r="H50" s="200">
        <f t="shared" si="13"/>
        <v>0.44478500295969897</v>
      </c>
      <c r="I50" s="200">
        <f t="shared" si="13"/>
        <v>0.52678673354392946</v>
      </c>
      <c r="J50" s="200">
        <f t="shared" si="13"/>
        <v>0.44977432413420487</v>
      </c>
      <c r="K50" s="200">
        <f t="shared" si="13"/>
        <v>0.46036698396693826</v>
      </c>
      <c r="L50" s="200">
        <f t="shared" si="13"/>
        <v>0.49247334192599579</v>
      </c>
      <c r="M50" s="200">
        <f t="shared" si="13"/>
        <v>0.63388817959107602</v>
      </c>
      <c r="N50" s="200">
        <f t="shared" si="13"/>
        <v>0.60825132333912924</v>
      </c>
      <c r="O50" s="200">
        <f t="shared" si="13"/>
        <v>0.56450161796069098</v>
      </c>
      <c r="P50" s="200">
        <f t="shared" si="13"/>
        <v>0.45878728344347203</v>
      </c>
      <c r="Q50" s="200">
        <f t="shared" si="13"/>
        <v>0.48778340303764028</v>
      </c>
      <c r="R50" s="200">
        <f t="shared" si="13"/>
        <v>0.5482333620708213</v>
      </c>
      <c r="S50" s="200">
        <f t="shared" si="13"/>
        <v>0.59990664542727024</v>
      </c>
      <c r="T50" s="200">
        <f t="shared" si="13"/>
        <v>0.55764559180248829</v>
      </c>
      <c r="U50" s="200">
        <f t="shared" si="13"/>
        <v>0.32467597875656318</v>
      </c>
      <c r="V50" s="108" t="s">
        <v>37</v>
      </c>
    </row>
    <row r="51" spans="1:48" x14ac:dyDescent="0.2">
      <c r="A51" s="11"/>
      <c r="B51" s="208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9"/>
      <c r="Q51" s="210"/>
      <c r="R51" s="210"/>
      <c r="S51" s="210"/>
      <c r="T51" s="210"/>
      <c r="U51" s="210"/>
      <c r="V51" s="38"/>
    </row>
    <row r="52" spans="1:48" x14ac:dyDescent="0.2">
      <c r="A52" s="39" t="s">
        <v>110</v>
      </c>
      <c r="B52" s="83">
        <f>'Quarterly Data 2001-2021'!F52</f>
        <v>178.2</v>
      </c>
      <c r="C52" s="41">
        <f>'Quarterly Data 2001-2021'!J52</f>
        <v>192</v>
      </c>
      <c r="D52" s="41">
        <f>'Quarterly Data 2001-2021'!N52</f>
        <v>228.3</v>
      </c>
      <c r="E52" s="41">
        <f>'Quarterly Data 2001-2021'!R52</f>
        <v>267</v>
      </c>
      <c r="F52" s="41">
        <f>'Quarterly Data 2001-2021'!V52</f>
        <v>353.7</v>
      </c>
      <c r="G52" s="41">
        <f>'Quarterly Data 2001-2021'!Z52</f>
        <v>488.8</v>
      </c>
      <c r="H52" s="41">
        <f>'Quarterly Data 2001-2021'!AD52</f>
        <v>573</v>
      </c>
      <c r="I52" s="41">
        <f>'Quarterly Data 2001-2021'!AH52</f>
        <v>628</v>
      </c>
      <c r="J52" s="41">
        <v>693</v>
      </c>
      <c r="K52" s="41">
        <f>'Quarterly Data 2001-2021'!AP52</f>
        <v>813</v>
      </c>
      <c r="L52" s="41">
        <f>'Quarterly Data 2001-2021'!AT52</f>
        <v>875.36</v>
      </c>
      <c r="M52" s="41">
        <f>+'Quarterly Data 2001-2021'!AX52</f>
        <v>828</v>
      </c>
      <c r="N52" s="41">
        <f>+'Quarterly Data 2001-2021'!BB52</f>
        <v>794</v>
      </c>
      <c r="O52" s="41">
        <f>+'Quarterly Data 2001-2021'!BF52</f>
        <v>815</v>
      </c>
      <c r="P52" s="41">
        <f>+'Quarterly Data 2001-2021'!BJ52</f>
        <v>1126</v>
      </c>
      <c r="Q52" s="41">
        <f>+'Quarterly Data 2001-2021'!BN52</f>
        <v>1308</v>
      </c>
      <c r="R52" s="41">
        <f>+'Quarterly Data 2001-2021'!BR52</f>
        <v>1427</v>
      </c>
      <c r="S52" s="41">
        <f>+'Quarterly Data 2001-2021'!BV52</f>
        <v>1614.3034072737</v>
      </c>
      <c r="T52" s="41">
        <f>+'Quarterly Data 2001-2021'!BZ52</f>
        <v>1945.3174540872683</v>
      </c>
      <c r="U52" s="41">
        <f>+'Quarterly Data 2001-2021'!CD52</f>
        <v>3172.1498589487301</v>
      </c>
      <c r="V52" s="46">
        <f>+((U52/B52)^(1/19))-1</f>
        <v>0.16362474242706693</v>
      </c>
    </row>
    <row r="53" spans="1:48" x14ac:dyDescent="0.2">
      <c r="A53" s="47" t="s">
        <v>153</v>
      </c>
      <c r="B53" s="275">
        <f>B39/(('Quarterly Data 2001-2021'!B52+B52)/2)</f>
        <v>2.5352367385192139E-2</v>
      </c>
      <c r="C53" s="274">
        <f>C39/((B52+C52)/2)</f>
        <v>0.10454197730956261</v>
      </c>
      <c r="D53" s="274">
        <f>D39/((C52+D52)/2)</f>
        <v>0.20171306209850107</v>
      </c>
      <c r="E53" s="274">
        <f>E39/((D52+E52)/2)</f>
        <v>0.29404142943670503</v>
      </c>
      <c r="F53" s="274">
        <v>0.35299999999999998</v>
      </c>
      <c r="G53" s="274">
        <v>0.45100000000000001</v>
      </c>
      <c r="H53" s="274">
        <v>0.46</v>
      </c>
      <c r="I53" s="274">
        <v>0.32</v>
      </c>
      <c r="J53" s="274">
        <v>0.36</v>
      </c>
      <c r="K53" s="274">
        <v>0.37</v>
      </c>
      <c r="L53" s="274">
        <v>0.35</v>
      </c>
      <c r="M53" s="274">
        <f>+M39/((L52+M52)/2)</f>
        <v>0.18782188739933306</v>
      </c>
      <c r="N53" s="274">
        <f>+N39/((M52+N52)/2)</f>
        <v>0.23836444759556094</v>
      </c>
      <c r="O53" s="274">
        <f>+O39/((N52+O52)/2)</f>
        <v>0.31018520820385337</v>
      </c>
      <c r="P53" s="274">
        <f>+P39/((O52+P52)/2)</f>
        <v>0.42751159196290578</v>
      </c>
      <c r="Q53" s="274">
        <f>+Q39/((P52+Q52)/2)</f>
        <v>0.32777321281840588</v>
      </c>
      <c r="R53" s="274">
        <f>+R39/AVERAGE('Quarterly Data 2001-2021'!BN52:BR52)</f>
        <v>0.29773156899810965</v>
      </c>
      <c r="S53" s="274">
        <f>+S39/AVERAGE('Quarterly Data 2001-2021'!BR52:BV52)</f>
        <v>0.24405338498664286</v>
      </c>
      <c r="T53" s="274">
        <f>+T39/AVERAGE('Quarterly Data 2001-2021'!BV52:BZ52)</f>
        <v>0.26782113464421747</v>
      </c>
      <c r="U53" s="274">
        <f>+U39/AVERAGE('Quarterly Data 2001-2021'!BZ52:CD52)</f>
        <v>0.56823781684127417</v>
      </c>
      <c r="V53" s="46">
        <f>+((U53/B53)^(1/19))-1</f>
        <v>0.17782171945370751</v>
      </c>
    </row>
    <row r="54" spans="1:48" ht="15" x14ac:dyDescent="0.2">
      <c r="A54" s="47" t="s">
        <v>202</v>
      </c>
      <c r="B54" s="104" t="s">
        <v>37</v>
      </c>
      <c r="C54" s="101" t="s">
        <v>37</v>
      </c>
      <c r="D54" s="101" t="s">
        <v>37</v>
      </c>
      <c r="E54" s="101" t="s">
        <v>37</v>
      </c>
      <c r="F54" s="101" t="s">
        <v>37</v>
      </c>
      <c r="G54" s="101" t="s">
        <v>37</v>
      </c>
      <c r="H54" s="101">
        <f>'Quarterly Data 2001-2021'!AD54</f>
        <v>1.78</v>
      </c>
      <c r="I54" s="101">
        <f>'Quarterly Data 2001-2021'!AH54</f>
        <v>1.68</v>
      </c>
      <c r="J54" s="101">
        <f>+'Quarterly Data 2001-2021'!AL54</f>
        <v>1.71</v>
      </c>
      <c r="K54" s="101">
        <f>'Quarterly Data 2001-2021'!AP54</f>
        <v>1.84</v>
      </c>
      <c r="L54" s="101">
        <f>'Quarterly Data 2001-2021'!AT54</f>
        <v>2.06</v>
      </c>
      <c r="M54" s="101">
        <f>+'Quarterly Data 2001-2021'!AX54</f>
        <v>2.21</v>
      </c>
      <c r="N54" s="101">
        <f>+'Quarterly Data 2001-2021'!BB54</f>
        <v>1.82</v>
      </c>
      <c r="O54" s="101">
        <f>+'Quarterly Data 2001-2021'!BF54</f>
        <v>1.72</v>
      </c>
      <c r="P54" s="101">
        <f>+'Quarterly Data 2001-2021'!BJ54</f>
        <v>1.67</v>
      </c>
      <c r="Q54" s="101">
        <f>+'Quarterly Data 2001-2021'!BN54</f>
        <v>1.66</v>
      </c>
      <c r="R54" s="101">
        <f>+'Quarterly Data 2001-2021'!BR54</f>
        <v>1.55</v>
      </c>
      <c r="S54" s="101">
        <f>+'Quarterly Data 2001-2021'!BV54</f>
        <v>1.34</v>
      </c>
      <c r="T54" s="101">
        <f>+'Quarterly Data 2001-2021'!BZ54</f>
        <v>1.3</v>
      </c>
      <c r="U54" s="101">
        <f>+'Quarterly Data 2001-2021'!CD54</f>
        <v>1.74</v>
      </c>
      <c r="V54" s="96" t="s">
        <v>37</v>
      </c>
    </row>
    <row r="55" spans="1:48" x14ac:dyDescent="0.2">
      <c r="A55" s="112" t="s">
        <v>43</v>
      </c>
      <c r="B55" s="126">
        <f t="shared" ref="B55:S55" si="14">-B38/B35</f>
        <v>0.28000000000000003</v>
      </c>
      <c r="C55" s="123">
        <f t="shared" si="14"/>
        <v>0.27999999999999958</v>
      </c>
      <c r="D55" s="123">
        <f t="shared" si="14"/>
        <v>0.27999999999999997</v>
      </c>
      <c r="E55" s="123">
        <f t="shared" si="14"/>
        <v>0.28000000000000003</v>
      </c>
      <c r="F55" s="123">
        <f t="shared" si="14"/>
        <v>0.27780806979280259</v>
      </c>
      <c r="G55" s="123">
        <f t="shared" si="14"/>
        <v>0.22881324656472593</v>
      </c>
      <c r="H55" s="123">
        <f t="shared" si="14"/>
        <v>0.24281821005752149</v>
      </c>
      <c r="I55" s="123">
        <f t="shared" si="14"/>
        <v>0.22547291866506691</v>
      </c>
      <c r="J55" s="123">
        <f t="shared" si="14"/>
        <v>0.18499965671882126</v>
      </c>
      <c r="K55" s="123">
        <f t="shared" si="14"/>
        <v>0.18115765258012262</v>
      </c>
      <c r="L55" s="123">
        <f t="shared" si="14"/>
        <v>0.14671266273431049</v>
      </c>
      <c r="M55" s="123">
        <f t="shared" si="14"/>
        <v>0.20401649253256171</v>
      </c>
      <c r="N55" s="123">
        <f t="shared" si="14"/>
        <v>0.14581538542936762</v>
      </c>
      <c r="O55" s="123">
        <f t="shared" si="14"/>
        <v>0.15601642349344208</v>
      </c>
      <c r="P55" s="123">
        <f t="shared" si="14"/>
        <v>0.14382996285596367</v>
      </c>
      <c r="Q55" s="123">
        <f t="shared" si="14"/>
        <v>0.14196601419660143</v>
      </c>
      <c r="R55" s="123">
        <f t="shared" si="14"/>
        <v>0.14285714285714285</v>
      </c>
      <c r="S55" s="123">
        <f t="shared" si="14"/>
        <v>0.16463797096482408</v>
      </c>
      <c r="T55" s="123">
        <f>-T38/T35</f>
        <v>0.14053975912688402</v>
      </c>
      <c r="U55" s="123">
        <f>-U38/U35</f>
        <v>0.15343242020329234</v>
      </c>
      <c r="V55" s="117" t="s">
        <v>37</v>
      </c>
    </row>
    <row r="56" spans="1:48" x14ac:dyDescent="0.2">
      <c r="A56" s="11"/>
      <c r="B56" s="222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23"/>
      <c r="Q56" s="224"/>
      <c r="R56" s="224"/>
      <c r="S56" s="224"/>
      <c r="T56" s="224"/>
      <c r="U56" s="224"/>
      <c r="V56" s="38"/>
    </row>
    <row r="57" spans="1:48" x14ac:dyDescent="0.2">
      <c r="A57" s="304" t="s">
        <v>156</v>
      </c>
      <c r="B57" s="8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3"/>
      <c r="R57" s="33"/>
      <c r="S57" s="33"/>
      <c r="T57" s="33"/>
      <c r="U57" s="33"/>
      <c r="V57" s="82"/>
    </row>
    <row r="58" spans="1:48" x14ac:dyDescent="0.2">
      <c r="A58" s="11" t="s">
        <v>168</v>
      </c>
      <c r="B58" s="272" t="str">
        <f>+'Quarterly Data 2001-2021'!O58</f>
        <v>N.A.</v>
      </c>
      <c r="C58" s="94" t="str">
        <f>+'Quarterly Data 2001-2021'!J58</f>
        <v>N.A.</v>
      </c>
      <c r="D58" s="94" t="str">
        <f>+'Quarterly Data 2001-2021'!N58</f>
        <v>N.A.</v>
      </c>
      <c r="E58" s="94" t="str">
        <f>+'Quarterly Data 2001-2021'!R58</f>
        <v>N.A.</v>
      </c>
      <c r="F58" s="94" t="str">
        <f>+'Quarterly Data 2001-2021'!V58</f>
        <v>N.A.</v>
      </c>
      <c r="G58" s="94" t="str">
        <f>+'Quarterly Data 2001-2021'!Z58</f>
        <v>N.A.</v>
      </c>
      <c r="H58" s="94" t="s">
        <v>37</v>
      </c>
      <c r="I58" s="94" t="s">
        <v>37</v>
      </c>
      <c r="J58" s="94">
        <f t="shared" ref="J58:S58" si="15">+J59-I59</f>
        <v>27.437209302325584</v>
      </c>
      <c r="K58" s="94">
        <f t="shared" si="15"/>
        <v>34.200000000000017</v>
      </c>
      <c r="L58" s="94">
        <f t="shared" si="15"/>
        <v>26.199999999999989</v>
      </c>
      <c r="M58" s="94">
        <f t="shared" si="15"/>
        <v>20.286000000000001</v>
      </c>
      <c r="N58" s="94">
        <f t="shared" si="15"/>
        <v>33.213999999999999</v>
      </c>
      <c r="O58" s="94">
        <f t="shared" si="15"/>
        <v>54.699999999999989</v>
      </c>
      <c r="P58" s="94">
        <f t="shared" si="15"/>
        <v>96.400000000000034</v>
      </c>
      <c r="Q58" s="273">
        <f t="shared" si="15"/>
        <v>103</v>
      </c>
      <c r="R58" s="273">
        <f t="shared" si="15"/>
        <v>140.04200000000003</v>
      </c>
      <c r="S58" s="273">
        <f t="shared" si="15"/>
        <v>126.49599999999998</v>
      </c>
      <c r="T58" s="273">
        <f>+T59-S59</f>
        <v>139.28399999999999</v>
      </c>
      <c r="U58" s="273">
        <f>+U59-T59</f>
        <v>303.9079999999999</v>
      </c>
      <c r="V58" s="268" t="s">
        <v>37</v>
      </c>
    </row>
    <row r="59" spans="1:48" x14ac:dyDescent="0.2">
      <c r="A59" s="47" t="s">
        <v>35</v>
      </c>
      <c r="B59" s="100" t="str">
        <f>+'Quarterly Data 2001-2021'!O59</f>
        <v>N.A.</v>
      </c>
      <c r="C59" s="97" t="str">
        <f>+'Quarterly Data 2001-2021'!J59</f>
        <v>N.A.</v>
      </c>
      <c r="D59" s="97" t="str">
        <f>+'Quarterly Data 2001-2021'!N59</f>
        <v>N.A.</v>
      </c>
      <c r="E59" s="97" t="str">
        <f>+'Quarterly Data 2001-2021'!R59</f>
        <v>N.A.</v>
      </c>
      <c r="F59" s="97" t="str">
        <f>+'Quarterly Data 2001-2021'!V59</f>
        <v>N.A.</v>
      </c>
      <c r="G59" s="97" t="str">
        <f>+'Quarterly Data 2001-2021'!Z59</f>
        <v>N.A.</v>
      </c>
      <c r="H59" s="97" t="s">
        <v>37</v>
      </c>
      <c r="I59" s="97">
        <v>175.16279069767441</v>
      </c>
      <c r="J59" s="97">
        <f>'Quarterly Data 2001-2021'!AL59</f>
        <v>202.6</v>
      </c>
      <c r="K59" s="97">
        <f>'Quarterly Data 2001-2021'!AP59</f>
        <v>236.8</v>
      </c>
      <c r="L59" s="97">
        <f>'Quarterly Data 2001-2021'!AT59</f>
        <v>263</v>
      </c>
      <c r="M59" s="97">
        <f>'Quarterly Data 2001-2021'!AX59</f>
        <v>283.286</v>
      </c>
      <c r="N59" s="97">
        <f>'Quarterly Data 2001-2021'!BB59</f>
        <v>316.5</v>
      </c>
      <c r="O59" s="97">
        <f>'Quarterly Data 2001-2021'!BF59</f>
        <v>371.2</v>
      </c>
      <c r="P59" s="97">
        <f>'Quarterly Data 2001-2021'!BJ59</f>
        <v>467.6</v>
      </c>
      <c r="Q59" s="97">
        <f>+'Quarterly Data 2001-2021'!BN59</f>
        <v>570.6</v>
      </c>
      <c r="R59" s="97">
        <f>+'Quarterly Data 2001-2021'!BR59</f>
        <v>710.64200000000005</v>
      </c>
      <c r="S59" s="97">
        <f>+'Quarterly Data 2001-2021'!BV59</f>
        <v>837.13800000000003</v>
      </c>
      <c r="T59" s="97">
        <f>+'Quarterly Data 2001-2021'!BZ59</f>
        <v>976.42200000000003</v>
      </c>
      <c r="U59" s="101">
        <f>+'Quarterly Data 2001-2021'!CD59</f>
        <v>1280.33</v>
      </c>
      <c r="V59" s="96" t="s">
        <v>37</v>
      </c>
    </row>
    <row r="60" spans="1:48" x14ac:dyDescent="0.2">
      <c r="A60" s="11"/>
      <c r="B60" s="81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107"/>
      <c r="Q60" s="107"/>
      <c r="R60" s="107"/>
      <c r="S60" s="119"/>
      <c r="T60" s="119"/>
      <c r="U60" s="119"/>
      <c r="V60" s="108"/>
    </row>
    <row r="61" spans="1:48" s="111" customFormat="1" x14ac:dyDescent="0.2">
      <c r="A61" s="39" t="s">
        <v>89</v>
      </c>
      <c r="B61" s="83" t="s">
        <v>53</v>
      </c>
      <c r="C61" s="41" t="s">
        <v>53</v>
      </c>
      <c r="D61" s="41" t="s">
        <v>53</v>
      </c>
      <c r="E61" s="41" t="s">
        <v>53</v>
      </c>
      <c r="F61" s="41" t="s">
        <v>53</v>
      </c>
      <c r="G61" s="41" t="s">
        <v>53</v>
      </c>
      <c r="H61" s="41" t="s">
        <v>53</v>
      </c>
      <c r="I61" s="109">
        <f t="shared" ref="I61:T61" si="16">+I78/(I59*1000)</f>
        <v>0.20496420419543282</v>
      </c>
      <c r="J61" s="109">
        <f t="shared" si="16"/>
        <v>0.31798124383020732</v>
      </c>
      <c r="K61" s="109">
        <f t="shared" si="16"/>
        <v>0.3627069256756757</v>
      </c>
      <c r="L61" s="109">
        <f t="shared" si="16"/>
        <v>0.29194676806083653</v>
      </c>
      <c r="M61" s="109">
        <f t="shared" si="16"/>
        <v>0.3130017014607146</v>
      </c>
      <c r="N61" s="109">
        <f t="shared" si="16"/>
        <v>0.36600631911532383</v>
      </c>
      <c r="O61" s="109">
        <f t="shared" si="16"/>
        <v>0.39675571186147629</v>
      </c>
      <c r="P61" s="109">
        <f t="shared" si="16"/>
        <v>0.4238434438812908</v>
      </c>
      <c r="Q61" s="109">
        <f t="shared" si="16"/>
        <v>0.41911146161934804</v>
      </c>
      <c r="R61" s="109">
        <f t="shared" si="16"/>
        <v>0.39813437016412223</v>
      </c>
      <c r="S61" s="109">
        <f t="shared" si="16"/>
        <v>0.35833913147105156</v>
      </c>
      <c r="T61" s="109">
        <f t="shared" si="16"/>
        <v>0.41756404861041718</v>
      </c>
      <c r="U61" s="109">
        <f>+U78/(U59*1000)</f>
        <v>0.44559538806949406</v>
      </c>
      <c r="V61" s="268" t="s">
        <v>37</v>
      </c>
    </row>
    <row r="62" spans="1:48" s="111" customFormat="1" x14ac:dyDescent="0.2">
      <c r="A62" s="47" t="s">
        <v>81</v>
      </c>
      <c r="B62" s="83" t="s">
        <v>53</v>
      </c>
      <c r="C62" s="41" t="s">
        <v>53</v>
      </c>
      <c r="D62" s="41" t="s">
        <v>53</v>
      </c>
      <c r="E62" s="41" t="s">
        <v>53</v>
      </c>
      <c r="F62" s="41" t="s">
        <v>53</v>
      </c>
      <c r="G62" s="41" t="s">
        <v>53</v>
      </c>
      <c r="H62" s="41" t="s">
        <v>53</v>
      </c>
      <c r="I62" s="41" t="s">
        <v>53</v>
      </c>
      <c r="J62" s="49">
        <f>J23*1000/(('Quarterly Data 2001-2021'!$AH$59+'Quarterly Data 2001-2021'!$AI$59+'Quarterly Data 2001-2021'!$AJ$59+'Quarterly Data 2001-2021'!$AK$59+'Quarterly Data 2001-2021'!$AL$59)/5)</f>
        <v>2705.3536760686434</v>
      </c>
      <c r="K62" s="49">
        <f>K23*1000/(('Quarterly Data 2001-2021'!$AL$59+'Quarterly Data 2001-2021'!$AM$59+'Quarterly Data 2001-2021'!$AN$59+'Quarterly Data 2001-2021'!$AO$59+'Quarterly Data 2001-2021'!$AP$59)/5)</f>
        <v>2762.4287828787474</v>
      </c>
      <c r="L62" s="49">
        <f>L23*1000/(('Quarterly Data 2001-2021'!$AP$59+'Quarterly Data 2001-2021'!$AQ$59+'Quarterly Data 2001-2021'!$AR$59+'Quarterly Data 2001-2021'!$AS$59+'Quarterly Data 2001-2021'!$AT$59)/5)</f>
        <v>2716.7550054866415</v>
      </c>
      <c r="M62" s="49">
        <f>M23*1000/(('Quarterly Data 2001-2021'!$AT$59+'Quarterly Data 2001-2021'!$AU$59+'Quarterly Data 2001-2021'!$AV$59+'Quarterly Data 2001-2021'!$AW$59+'Quarterly Data 2001-2021'!$AX$59)/5)</f>
        <v>2013.2201056669819</v>
      </c>
      <c r="N62" s="49">
        <f>N23*1000/(('Quarterly Data 2001-2021'!$AX$59+'Quarterly Data 2001-2021'!$AY$59+'Quarterly Data 2001-2021'!$AZ$59+'Quarterly Data 2001-2021'!$BA$59+'Quarterly Data 2001-2021'!$BB$59)/5)</f>
        <v>1937.8138955346894</v>
      </c>
      <c r="O62" s="49">
        <f>O23*1000/(('Quarterly Data 2001-2021'!$BB$59+'Quarterly Data 2001-2021'!$BC$59+'Quarterly Data 2001-2021'!$BD$59+'Quarterly Data 2001-2021'!$BE$59+'Quarterly Data 2001-2021'!$BF$59)/5)</f>
        <v>1974.989804835421</v>
      </c>
      <c r="P62" s="49">
        <f>P23*1000/(('Quarterly Data 2001-2021'!$BF$59+'Quarterly Data 2001-2021'!$BG$59+'Quarterly Data 2001-2021'!$BH$59+'Quarterly Data 2001-2021'!$BI$59+'Quarterly Data 2001-2021'!$BJ$59)/5)</f>
        <v>2123.6487767874078</v>
      </c>
      <c r="Q62" s="49">
        <f>Q23*1000/(('Quarterly Data 2001-2021'!$BJ$59+'Quarterly Data 2001-2021'!$BK$59+'Quarterly Data 2001-2021'!$BL$59+'Quarterly Data 2001-2021'!$BM$59+'Quarterly Data 2001-2021'!$BN$59)/5)</f>
        <v>1753.9186163230636</v>
      </c>
      <c r="R62" s="49">
        <f>R23*1000/(('Quarterly Data 2001-2021'!$BN$59+'Quarterly Data 2001-2021'!$BO$59+'Quarterly Data 2001-2021'!$BP$59+'Quarterly Data 2001-2021'!$BQ$59+'Quarterly Data 2001-2021'!$BR$59)/5)</f>
        <v>1526.4837530302868</v>
      </c>
      <c r="S62" s="49">
        <f>S23*1000/(('Quarterly Data 2001-2021'!$BR$59+'Quarterly Data 2001-2021'!$BS$59+'Quarterly Data 2001-2021'!$BT$59+'Quarterly Data 2001-2021'!$BU$59+'Quarterly Data 2001-2021'!$BV$59)/5)</f>
        <v>1349.8182361874849</v>
      </c>
      <c r="T62" s="49">
        <f>T23*1000/(('Quarterly Data 2001-2021'!$BV$59+'Quarterly Data 2001-2021'!$BW$59+'Quarterly Data 2001-2021'!$BX$59+'Quarterly Data 2001-2021'!$BY$59+'Quarterly Data 2001-2021'!$BZ$59)/5)</f>
        <v>1318.5127116475699</v>
      </c>
      <c r="U62" s="49">
        <f>U23*1000/(('Quarterly Data 2001-2021'!$BZ$59+'Quarterly Data 2001-2021'!$CA$59+'Quarterly Data 2001-2021'!$CB$59+'Quarterly Data 2001-2021'!$CC$59+'Quarterly Data 2001-2021'!$CD$59)/5)</f>
        <v>2086.1247796504795</v>
      </c>
      <c r="V62" s="268" t="s">
        <v>37</v>
      </c>
    </row>
    <row r="63" spans="1:48" s="111" customFormat="1" x14ac:dyDescent="0.2">
      <c r="A63" s="47" t="s">
        <v>82</v>
      </c>
      <c r="B63" s="83" t="s">
        <v>53</v>
      </c>
      <c r="C63" s="41" t="s">
        <v>53</v>
      </c>
      <c r="D63" s="41" t="s">
        <v>53</v>
      </c>
      <c r="E63" s="41" t="s">
        <v>53</v>
      </c>
      <c r="F63" s="41" t="s">
        <v>53</v>
      </c>
      <c r="G63" s="41" t="s">
        <v>53</v>
      </c>
      <c r="H63" s="41" t="s">
        <v>53</v>
      </c>
      <c r="I63" s="41" t="s">
        <v>53</v>
      </c>
      <c r="J63" s="49">
        <f>J29*1000/(('Quarterly Data 2001-2021'!$AH$59+'Quarterly Data 2001-2021'!$AI$59+'Quarterly Data 2001-2021'!$AJ$59+'Quarterly Data 2001-2021'!$AK$59+'Quarterly Data 2001-2021'!$AL$59)/5)</f>
        <v>-1216.7986211977607</v>
      </c>
      <c r="K63" s="49">
        <f>K29*1000/(('Quarterly Data 2001-2021'!$AL$59+'Quarterly Data 2001-2021'!$AM$59+'Quarterly Data 2001-2021'!$AN$59+'Quarterly Data 2001-2021'!$AO$59+'Quarterly Data 2001-2021'!$AP$59)/5)</f>
        <v>-1271.7310071973488</v>
      </c>
      <c r="L63" s="49">
        <f>L29*1000/(('Quarterly Data 2001-2021'!$AP$59+'Quarterly Data 2001-2021'!$AQ$59+'Quarterly Data 2001-2021'!$AR$59+'Quarterly Data 2001-2021'!$AS$59+'Quarterly Data 2001-2021'!$AT$59)/5)</f>
        <v>-1337.9294167461833</v>
      </c>
      <c r="M63" s="49">
        <f>M29*1000/(('Quarterly Data 2001-2021'!$AT$59+'Quarterly Data 2001-2021'!$AU$59+'Quarterly Data 2001-2021'!$AV$59+'Quarterly Data 2001-2021'!$AW$59+'Quarterly Data 2001-2021'!$AX$59)/5)</f>
        <v>-1276.156427897397</v>
      </c>
      <c r="N63" s="49">
        <f>N29*1000/(('Quarterly Data 2001-2021'!$AX$59+'Quarterly Data 2001-2021'!$AY$59+'Quarterly Data 2001-2021'!$AZ$59+'Quarterly Data 2001-2021'!$BA$59+'Quarterly Data 2001-2021'!$BB$59)/5)</f>
        <v>-1178.6778663439279</v>
      </c>
      <c r="O63" s="49">
        <f>O29*1000/(('Quarterly Data 2001-2021'!$BB$59+'Quarterly Data 2001-2021'!$BC$59+'Quarterly Data 2001-2021'!$BD$59+'Quarterly Data 2001-2021'!$BE$59+'Quarterly Data 2001-2021'!$BF$59)/5)</f>
        <v>-1114.8849402854644</v>
      </c>
      <c r="P63" s="49">
        <f>P29*1000/(('Quarterly Data 2001-2021'!$BF$59+'Quarterly Data 2001-2021'!$BG$59+'Quarterly Data 2001-2021'!$BH$59+'Quarterly Data 2001-2021'!$BI$59+'Quarterly Data 2001-2021'!$BJ$59)/5)</f>
        <v>-974.30305329034707</v>
      </c>
      <c r="Q63" s="49">
        <f>Q29*1000/(('Quarterly Data 2001-2021'!$BJ$59+'Quarterly Data 2001-2021'!$BK$59+'Quarterly Data 2001-2021'!$BL$59+'Quarterly Data 2001-2021'!$BM$59+'Quarterly Data 2001-2021'!$BN$59)/5)</f>
        <v>-855.53239132113333</v>
      </c>
      <c r="R63" s="49">
        <f>R29*1000/(('Quarterly Data 2001-2021'!$BN$59+'Quarterly Data 2001-2021'!$BO$59+'Quarterly Data 2001-2021'!$BP$59+'Quarterly Data 2001-2021'!$BQ$59+'Quarterly Data 2001-2021'!$BR$59)/5)</f>
        <v>-836.86932007027951</v>
      </c>
      <c r="S63" s="49">
        <f>(S29+35)*1000/(('Quarterly Data 2001-2021'!$BR$59+'Quarterly Data 2001-2021'!$BS$59+'Quarterly Data 2001-2021'!$BT$59+'Quarterly Data 2001-2021'!$BU$59+'Quarterly Data 2001-2021'!$BV$59)/5)</f>
        <v>-764.72796495364264</v>
      </c>
      <c r="T63" s="49">
        <f>T29*1000/(('Quarterly Data 2001-2021'!$BV$59+'Quarterly Data 2001-2021'!$BW$59+'Quarterly Data 2001-2021'!$BX$59+'Quarterly Data 2001-2021'!$BY$59+'Quarterly Data 2001-2021'!$BZ$59)/5)</f>
        <v>-735.26280138581262</v>
      </c>
      <c r="U63" s="49">
        <f>U29*1000/(('Quarterly Data 2001-2021'!$BZ$59+'Quarterly Data 2001-2021'!$CA$59+'Quarterly Data 2001-2021'!$CB$59+'Quarterly Data 2001-2021'!$CC$59+'Quarterly Data 2001-2021'!$CD$59)/5)</f>
        <v>-677.31460464133909</v>
      </c>
      <c r="V63" s="268" t="s">
        <v>37</v>
      </c>
    </row>
    <row r="64" spans="1:48" s="118" customFormat="1" x14ac:dyDescent="0.2">
      <c r="A64" s="112" t="s">
        <v>83</v>
      </c>
      <c r="B64" s="81" t="s">
        <v>53</v>
      </c>
      <c r="C64" s="32" t="s">
        <v>53</v>
      </c>
      <c r="D64" s="32" t="s">
        <v>53</v>
      </c>
      <c r="E64" s="32" t="s">
        <v>53</v>
      </c>
      <c r="F64" s="32" t="s">
        <v>53</v>
      </c>
      <c r="G64" s="32" t="s">
        <v>53</v>
      </c>
      <c r="H64" s="32" t="s">
        <v>53</v>
      </c>
      <c r="I64" s="32" t="s">
        <v>53</v>
      </c>
      <c r="J64" s="114">
        <f>J35*1000/(('Quarterly Data 2001-2021'!$AH$59+'Quarterly Data 2001-2021'!$AI$59+'Quarterly Data 2001-2021'!$AJ$59+'Quarterly Data 2001-2021'!$AK$59+'Quarterly Data 2001-2021'!$AL$59)/5)</f>
        <v>1488.5550548708829</v>
      </c>
      <c r="K64" s="114">
        <f>K35*1000/(('Quarterly Data 2001-2021'!$AL$59+'Quarterly Data 2001-2021'!$AM$59+'Quarterly Data 2001-2021'!$AN$59+'Quarterly Data 2001-2021'!$AO$59+'Quarterly Data 2001-2021'!$AP$59)/5)</f>
        <v>1490.6977756813983</v>
      </c>
      <c r="L64" s="114">
        <f>L35*1000/(('Quarterly Data 2001-2021'!$AP$59+'Quarterly Data 2001-2021'!$AQ$59+'Quarterly Data 2001-2021'!$AR$59+'Quarterly Data 2001-2021'!$AS$59+'Quarterly Data 2001-2021'!$AT$59)/5)</f>
        <v>1354.9706269083972</v>
      </c>
      <c r="M64" s="114">
        <f>M35*1000/(('Quarterly Data 2001-2021'!$AT$59+'Quarterly Data 2001-2021'!$AU$59+'Quarterly Data 2001-2021'!$AV$59+'Quarterly Data 2001-2021'!$AW$59+'Quarterly Data 2001-2021'!$AX$59)/5)</f>
        <v>733.41419990038378</v>
      </c>
      <c r="N64" s="114">
        <f>N35*1000/(('Quarterly Data 2001-2021'!$AX$59+'Quarterly Data 2001-2021'!$AY$59+'Quarterly Data 2001-2021'!$AZ$59+'Quarterly Data 2001-2021'!$BA$59+'Quarterly Data 2001-2021'!$BB$59)/5)</f>
        <v>755.79643077079231</v>
      </c>
      <c r="O64" s="114">
        <f>O35*1000/(('Quarterly Data 2001-2021'!$BB$59+'Quarterly Data 2001-2021'!$BC$59+'Quarterly Data 2001-2021'!$BD$59+'Quarterly Data 2001-2021'!$BE$59+'Quarterly Data 2001-2021'!$BF$59)/5)</f>
        <v>861.27002621613758</v>
      </c>
      <c r="P64" s="114">
        <f>P35*1000/(('Quarterly Data 2001-2021'!$BF$59+'Quarterly Data 2001-2021'!$BG$59+'Quarterly Data 2001-2021'!$BH$59+'Quarterly Data 2001-2021'!$BI$59+'Quarterly Data 2001-2021'!$BJ$59)/5)</f>
        <v>1148.776787407548</v>
      </c>
      <c r="Q64" s="114">
        <f>Q35*1000/(('Quarterly Data 2001-2021'!$BJ$59+'Quarterly Data 2001-2021'!$BK$59+'Quarterly Data 2001-2021'!$BL$59+'Quarterly Data 2001-2021'!$BM$59+'Quarterly Data 2001-2021'!$BN$59)/5)</f>
        <v>897.42104856767799</v>
      </c>
      <c r="R64" s="114">
        <f>R35*1000/(('Quarterly Data 2001-2021'!$BN$59+'Quarterly Data 2001-2021'!$BO$59+'Quarterly Data 2001-2021'!$BP$59+'Quarterly Data 2001-2021'!$BQ$59+'Quarterly Data 2001-2021'!$BR$59)/5)</f>
        <v>690.08857545062313</v>
      </c>
      <c r="S64" s="114">
        <f>(S35+35)*1000/(('Quarterly Data 2001-2021'!$BR$59+'Quarterly Data 2001-2021'!$BS$59+'Quarterly Data 2001-2021'!$BT$59+'Quarterly Data 2001-2021'!$BU$59+'Quarterly Data 2001-2021'!$BV$59)/5)</f>
        <v>582.73594243118816</v>
      </c>
      <c r="T64" s="114">
        <f>T35*1000/(('Quarterly Data 2001-2021'!$BV$59+'Quarterly Data 2001-2021'!$BW$59+'Quarterly Data 2001-2021'!$BX$59+'Quarterly Data 2001-2021'!$BY$59+'Quarterly Data 2001-2021'!$BZ$59)/5)</f>
        <v>574.50864258482545</v>
      </c>
      <c r="U64" s="114">
        <f>U35*1000/(('Quarterly Data 2001-2021'!$BZ$59+'Quarterly Data 2001-2021'!$CA$59+'Quarterly Data 2001-2021'!$CB$59+'Quarterly Data 2001-2021'!$CC$59+'Quarterly Data 2001-2021'!$CD$59)/5)</f>
        <v>1400.1951687972564</v>
      </c>
      <c r="V64" s="268" t="s">
        <v>37</v>
      </c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</row>
    <row r="65" spans="1:48" x14ac:dyDescent="0.2">
      <c r="A65" s="11"/>
      <c r="B65" s="8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107"/>
      <c r="Q65" s="119"/>
      <c r="R65" s="119"/>
      <c r="S65" s="119"/>
      <c r="T65" s="119"/>
      <c r="U65" s="119"/>
      <c r="V65" s="108"/>
    </row>
    <row r="66" spans="1:48" x14ac:dyDescent="0.2">
      <c r="A66" s="304" t="s">
        <v>157</v>
      </c>
      <c r="B66" s="8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3"/>
      <c r="R66" s="33"/>
      <c r="S66" s="33"/>
      <c r="T66" s="33"/>
      <c r="U66" s="33"/>
      <c r="V66" s="38"/>
    </row>
    <row r="67" spans="1:48" x14ac:dyDescent="0.2">
      <c r="A67" s="39" t="s">
        <v>167</v>
      </c>
      <c r="B67" s="83" t="s">
        <v>53</v>
      </c>
      <c r="C67" s="41" t="s">
        <v>53</v>
      </c>
      <c r="D67" s="41" t="s">
        <v>53</v>
      </c>
      <c r="E67" s="41" t="s">
        <v>53</v>
      </c>
      <c r="F67" s="41" t="s">
        <v>53</v>
      </c>
      <c r="G67" s="41" t="s">
        <v>53</v>
      </c>
      <c r="H67" s="41" t="s">
        <v>53</v>
      </c>
      <c r="I67" s="41" t="s">
        <v>53</v>
      </c>
      <c r="J67" s="41" t="s">
        <v>53</v>
      </c>
      <c r="K67" s="41" t="s">
        <v>53</v>
      </c>
      <c r="L67" s="41" t="s">
        <v>53</v>
      </c>
      <c r="M67" s="41" t="s">
        <v>53</v>
      </c>
      <c r="N67" s="41" t="s">
        <v>53</v>
      </c>
      <c r="O67" s="41" t="s">
        <v>53</v>
      </c>
      <c r="P67" s="41">
        <f>SUM('Quarterly Data 2001-2021'!BG67:BJ67)</f>
        <v>20238.7</v>
      </c>
      <c r="Q67" s="42">
        <f>SUM('Quarterly Data 2001-2021'!BK67:BN67)</f>
        <v>20043.18306626</v>
      </c>
      <c r="R67" s="42">
        <f>SUM('Quarterly Data 2001-2021'!BO67:BR67)</f>
        <v>27072.092280159981</v>
      </c>
      <c r="S67" s="42">
        <f>SUM('Quarterly Data 2001-2021'!BS67:BV67)</f>
        <v>26254.993648102263</v>
      </c>
      <c r="T67" s="42">
        <f>SUM('Quarterly Data 2001-2021'!BW67:BZ67)</f>
        <v>31081.808169539996</v>
      </c>
      <c r="U67" s="42">
        <f>SUM('Quarterly Data 2001-2021'!CA67:CD67)</f>
        <v>63654.523547300065</v>
      </c>
      <c r="V67" s="268" t="s">
        <v>37</v>
      </c>
      <c r="W67" s="423"/>
    </row>
    <row r="68" spans="1:48" x14ac:dyDescent="0.2">
      <c r="A68" s="47" t="s">
        <v>145</v>
      </c>
      <c r="B68" s="53" t="s">
        <v>53</v>
      </c>
      <c r="C68" s="49" t="s">
        <v>53</v>
      </c>
      <c r="D68" s="49" t="s">
        <v>53</v>
      </c>
      <c r="E68" s="49" t="s">
        <v>53</v>
      </c>
      <c r="F68" s="49" t="s">
        <v>53</v>
      </c>
      <c r="G68" s="49" t="s">
        <v>53</v>
      </c>
      <c r="H68" s="49" t="s">
        <v>53</v>
      </c>
      <c r="I68" s="49" t="s">
        <v>53</v>
      </c>
      <c r="J68" s="49" t="s">
        <v>53</v>
      </c>
      <c r="K68" s="49" t="s">
        <v>53</v>
      </c>
      <c r="L68" s="49" t="s">
        <v>53</v>
      </c>
      <c r="M68" s="49" t="s">
        <v>53</v>
      </c>
      <c r="N68" s="49" t="s">
        <v>53</v>
      </c>
      <c r="O68" s="49" t="s">
        <v>53</v>
      </c>
      <c r="P68" s="49">
        <f>SUM('Quarterly Data 2001-2021'!BG68:BJ68)</f>
        <v>4322.3</v>
      </c>
      <c r="Q68" s="50">
        <f>SUM('Quarterly Data 2001-2021'!BK68:BN68)</f>
        <v>6027.5014650799958</v>
      </c>
      <c r="R68" s="50">
        <f>SUM('Quarterly Data 2001-2021'!BO68:BR68)</f>
        <v>-934.55576162998591</v>
      </c>
      <c r="S68" s="42">
        <f>SUM('Quarterly Data 2001-2021'!BS68:BV68)</f>
        <v>725.39120295998725</v>
      </c>
      <c r="T68" s="42">
        <f>SUM('Quarterly Data 2001-2021'!BW68:BZ68)</f>
        <v>1703.3014618500151</v>
      </c>
      <c r="U68" s="42">
        <f>SUM('Quarterly Data 2001-2021'!CA68:CD68)</f>
        <v>12043.086827999967</v>
      </c>
      <c r="V68" s="136" t="s">
        <v>37</v>
      </c>
      <c r="W68" s="423"/>
    </row>
    <row r="69" spans="1:48" x14ac:dyDescent="0.2">
      <c r="A69" s="47" t="s">
        <v>146</v>
      </c>
      <c r="B69" s="53" t="s">
        <v>53</v>
      </c>
      <c r="C69" s="49" t="s">
        <v>53</v>
      </c>
      <c r="D69" s="49" t="s">
        <v>53</v>
      </c>
      <c r="E69" s="49" t="s">
        <v>53</v>
      </c>
      <c r="F69" s="49" t="s">
        <v>53</v>
      </c>
      <c r="G69" s="49" t="s">
        <v>53</v>
      </c>
      <c r="H69" s="49" t="s">
        <v>53</v>
      </c>
      <c r="I69" s="49" t="s">
        <v>53</v>
      </c>
      <c r="J69" s="49" t="s">
        <v>53</v>
      </c>
      <c r="K69" s="49" t="s">
        <v>53</v>
      </c>
      <c r="L69" s="49" t="s">
        <v>53</v>
      </c>
      <c r="M69" s="49" t="s">
        <v>53</v>
      </c>
      <c r="N69" s="49" t="s">
        <v>53</v>
      </c>
      <c r="O69" s="49" t="s">
        <v>53</v>
      </c>
      <c r="P69" s="49">
        <f>SUM('Quarterly Data 2001-2021'!BG69:BJ69)</f>
        <v>627</v>
      </c>
      <c r="Q69" s="50">
        <f>SUM('Quarterly Data 2001-2021'!BK69:BN69)</f>
        <v>451.16671528000074</v>
      </c>
      <c r="R69" s="50">
        <f>SUM('Quarterly Data 2001-2021'!BO69:BR69)</f>
        <v>642.69273927999984</v>
      </c>
      <c r="S69" s="42">
        <f>SUM('Quarterly Data 2001-2021'!BS69:BV69)</f>
        <v>570.02699303000111</v>
      </c>
      <c r="T69" s="42">
        <f>SUM('Quarterly Data 2001-2021'!BW69:BZ69)</f>
        <v>-193.40856792999801</v>
      </c>
      <c r="U69" s="42">
        <f>SUM('Quarterly Data 2001-2021'!CA69:CD69)</f>
        <v>561.48250456999699</v>
      </c>
      <c r="V69" s="136" t="s">
        <v>37</v>
      </c>
      <c r="W69" s="423"/>
    </row>
    <row r="70" spans="1:48" s="31" customFormat="1" x14ac:dyDescent="0.2">
      <c r="A70" s="256" t="s">
        <v>147</v>
      </c>
      <c r="B70" s="342" t="s">
        <v>37</v>
      </c>
      <c r="C70" s="255">
        <v>1300</v>
      </c>
      <c r="D70" s="255">
        <f>SUM('Quarterly Data 2001-2021'!K70:N70)</f>
        <v>1657.702</v>
      </c>
      <c r="E70" s="255">
        <f>SUM('Quarterly Data 2001-2021'!O70:R70)</f>
        <v>3294.94</v>
      </c>
      <c r="F70" s="255">
        <f>SUM('Quarterly Data 2001-2021'!S70:V70)</f>
        <v>5659.9359999999997</v>
      </c>
      <c r="G70" s="255">
        <f>SUM('Quarterly Data 2001-2021'!W70:Z70)</f>
        <v>6032.1670000000004</v>
      </c>
      <c r="H70" s="255">
        <f>SUM('Quarterly Data 2001-2021'!AA70:AD70)</f>
        <v>5003.1820000000007</v>
      </c>
      <c r="I70" s="255">
        <f>SUM('Quarterly Data 2001-2021'!AE70:AH70)</f>
        <v>6761</v>
      </c>
      <c r="J70" s="255">
        <f>SUM('Quarterly Data 2001-2021'!AI70:AL70)</f>
        <v>9946</v>
      </c>
      <c r="K70" s="255">
        <f>SUM('Quarterly Data 2001-2021'!AM70:AP70)</f>
        <v>9566</v>
      </c>
      <c r="L70" s="255">
        <f>SUM('Quarterly Data 2001-2021'!AQ70:AT70)</f>
        <v>6458</v>
      </c>
      <c r="M70" s="255">
        <f>SUM('Quarterly Data 2001-2021'!AU70:AX70)</f>
        <v>5375</v>
      </c>
      <c r="N70" s="255">
        <f>SUM('Quarterly Data 2001-2021'!AY70:BB70)</f>
        <v>10898</v>
      </c>
      <c r="O70" s="255">
        <f>SUM('Quarterly Data 2001-2021'!BC70:BF70)</f>
        <v>20062</v>
      </c>
      <c r="P70" s="255">
        <f>SUM('Quarterly Data 2001-2021'!BG70:BJ70)</f>
        <v>25188</v>
      </c>
      <c r="Q70" s="255">
        <f>SUM('Quarterly Data 2001-2021'!BK70:BN70)</f>
        <v>26522</v>
      </c>
      <c r="R70" s="255">
        <f>SUM('Quarterly Data 2001-2021'!BO70:BR70)</f>
        <v>26780.229257809995</v>
      </c>
      <c r="S70" s="254">
        <f>SUM('Quarterly Data 2001-2021'!BS70:BV70)</f>
        <v>27550.028942702251</v>
      </c>
      <c r="T70" s="254">
        <f>SUM('Quarterly Data 2001-2021'!BW70:BZ70)</f>
        <v>32592.118018540023</v>
      </c>
      <c r="U70" s="254">
        <f>SUM('Quarterly Data 2001-2021'!CA70:CD70)</f>
        <v>76266.05937345</v>
      </c>
      <c r="V70" s="117">
        <f>+((U70/C70)^(1/18))-1</f>
        <v>0.25384477721135057</v>
      </c>
      <c r="W70" s="423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21"/>
      <c r="AM70" s="421"/>
      <c r="AN70" s="421"/>
      <c r="AO70" s="421"/>
      <c r="AP70" s="421"/>
      <c r="AQ70" s="421"/>
      <c r="AR70" s="421"/>
      <c r="AS70" s="421"/>
      <c r="AT70" s="421"/>
      <c r="AU70" s="421"/>
      <c r="AV70" s="421"/>
    </row>
    <row r="71" spans="1:48" x14ac:dyDescent="0.2">
      <c r="A71" s="127"/>
      <c r="B71" s="81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107"/>
      <c r="Q71" s="119"/>
      <c r="R71" s="119"/>
      <c r="S71" s="119"/>
      <c r="T71" s="119"/>
      <c r="U71" s="119"/>
      <c r="V71" s="38"/>
    </row>
    <row r="72" spans="1:48" x14ac:dyDescent="0.2">
      <c r="A72" s="304" t="s">
        <v>158</v>
      </c>
      <c r="B72" s="8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107"/>
      <c r="Q72" s="119"/>
      <c r="R72" s="119"/>
      <c r="S72" s="119"/>
      <c r="T72" s="119"/>
      <c r="U72" s="119"/>
      <c r="V72" s="108"/>
    </row>
    <row r="73" spans="1:48" x14ac:dyDescent="0.2">
      <c r="A73" s="39" t="s">
        <v>102</v>
      </c>
      <c r="B73" s="83">
        <f>+'Quarterly Data 2001-2021'!F73</f>
        <v>7079.4</v>
      </c>
      <c r="C73" s="41">
        <f>+'Quarterly Data 2001-2021'!J73</f>
        <v>5354.7</v>
      </c>
      <c r="D73" s="41">
        <f>+'Quarterly Data 2001-2021'!N73</f>
        <v>9539.8000000000011</v>
      </c>
      <c r="E73" s="41">
        <f>+'Quarterly Data 2001-2021'!R73</f>
        <v>14440.1</v>
      </c>
      <c r="F73" s="41">
        <f>+'Quarterly Data 2001-2021'!V73</f>
        <v>24466</v>
      </c>
      <c r="G73" s="41">
        <f>+'Quarterly Data 2001-2021'!Z73</f>
        <v>33691</v>
      </c>
      <c r="H73" s="41">
        <f>'Quarterly Data 2001-2021'!AD73</f>
        <v>32154</v>
      </c>
      <c r="I73" s="41">
        <f>'Quarterly Data 2001-2021'!AH73</f>
        <v>21703.261999999999</v>
      </c>
      <c r="J73" s="41">
        <f>'Quarterly Data 2001-2021'!AL73</f>
        <v>42294</v>
      </c>
      <c r="K73" s="41">
        <f>'Quarterly Data 2001-2021'!AP73</f>
        <v>56411</v>
      </c>
      <c r="L73" s="41">
        <f>'Quarterly Data 2001-2021'!AT73</f>
        <v>46934</v>
      </c>
      <c r="M73" s="41">
        <f>'Quarterly Data 2001-2021'!AX73</f>
        <v>54521</v>
      </c>
      <c r="N73" s="41">
        <f>'Quarterly Data 2001-2021'!BB73</f>
        <v>70352</v>
      </c>
      <c r="O73" s="41">
        <f>'Quarterly Data 2001-2021'!BF73</f>
        <v>84387.909451099986</v>
      </c>
      <c r="P73" s="41">
        <f>'Quarterly Data 2001-2021'!BJ73</f>
        <v>119028.81067560156</v>
      </c>
      <c r="Q73" s="42">
        <f>+'Quarterly Data 2001-2021'!BN73</f>
        <v>145272</v>
      </c>
      <c r="R73" s="42">
        <f>+'Quarterly Data 2001-2021'!BR73</f>
        <v>159446.85219854221</v>
      </c>
      <c r="S73" s="42">
        <f>+'Quarterly Data 2001-2021'!BV73</f>
        <v>160964.48217900313</v>
      </c>
      <c r="T73" s="42">
        <f>+'Quarterly Data 2001-2021'!BZ73</f>
        <v>225021.71171163066</v>
      </c>
      <c r="U73" s="42">
        <f>+'Quarterly Data 2001-2021'!CD73</f>
        <v>342070.97393594531</v>
      </c>
      <c r="V73" s="46">
        <f>+((U73/B73)^(1/19))-1</f>
        <v>0.22641621184840055</v>
      </c>
    </row>
    <row r="74" spans="1:48" x14ac:dyDescent="0.2">
      <c r="A74" s="47" t="s">
        <v>103</v>
      </c>
      <c r="B74" s="53">
        <f>+'Quarterly Data 2001-2021'!F74</f>
        <v>280</v>
      </c>
      <c r="C74" s="49">
        <f>+'Quarterly Data 2001-2021'!J74</f>
        <v>380</v>
      </c>
      <c r="D74" s="49">
        <f>+'Quarterly Data 2001-2021'!N74</f>
        <v>500</v>
      </c>
      <c r="E74" s="49">
        <f>+'Quarterly Data 2001-2021'!R74</f>
        <v>1096</v>
      </c>
      <c r="F74" s="49">
        <f>+'Quarterly Data 2001-2021'!V74</f>
        <v>3877</v>
      </c>
      <c r="G74" s="49">
        <f>+'Quarterly Data 2001-2021'!Z74</f>
        <v>6553</v>
      </c>
      <c r="H74" s="41">
        <f>'Quarterly Data 2001-2021'!AD74</f>
        <v>8956</v>
      </c>
      <c r="I74" s="41">
        <f>'Quarterly Data 2001-2021'!AH74</f>
        <v>6189.84</v>
      </c>
      <c r="J74" s="41">
        <f>'Quarterly Data 2001-2021'!AL74</f>
        <v>13114</v>
      </c>
      <c r="K74" s="41">
        <f>'Quarterly Data 2001-2021'!AP74</f>
        <v>17738</v>
      </c>
      <c r="L74" s="41">
        <f>'Quarterly Data 2001-2021'!AT74</f>
        <v>15163</v>
      </c>
      <c r="M74" s="41">
        <f>'Quarterly Data 2001-2021'!AX74</f>
        <v>18920</v>
      </c>
      <c r="N74" s="41">
        <f>'Quarterly Data 2001-2021'!BB74</f>
        <v>27898</v>
      </c>
      <c r="O74" s="41">
        <f>'Quarterly Data 2001-2021'!BF74</f>
        <v>40255</v>
      </c>
      <c r="P74" s="41">
        <f>'Quarterly Data 2001-2021'!BJ74</f>
        <v>48876.976203999999</v>
      </c>
      <c r="Q74" s="42">
        <f>+'Quarterly Data 2001-2021'!BN74</f>
        <v>58923</v>
      </c>
      <c r="R74" s="42">
        <f>+'Quarterly Data 2001-2021'!BR74</f>
        <v>80236.739243999997</v>
      </c>
      <c r="S74" s="42">
        <f>+'Quarterly Data 2001-2021'!BV74</f>
        <v>81121.373778999987</v>
      </c>
      <c r="T74" s="42">
        <f>+'Quarterly Data 2001-2021'!BZ74</f>
        <v>119927.02235</v>
      </c>
      <c r="U74" s="42">
        <f>+'Quarterly Data 2001-2021'!CD74</f>
        <v>150886.791619</v>
      </c>
      <c r="V74" s="46">
        <f>+((U74/B74)^(1/19))-1</f>
        <v>0.39239610457727814</v>
      </c>
    </row>
    <row r="75" spans="1:48" x14ac:dyDescent="0.2">
      <c r="A75" s="47" t="s">
        <v>90</v>
      </c>
      <c r="B75" s="53">
        <f>+'Quarterly Data 2001-2021'!F75</f>
        <v>1227</v>
      </c>
      <c r="C75" s="49">
        <f>+'Quarterly Data 2001-2021'!J75</f>
        <v>1031.2</v>
      </c>
      <c r="D75" s="49">
        <f>+'Quarterly Data 2001-2021'!N75</f>
        <v>1465.4</v>
      </c>
      <c r="E75" s="49">
        <f>+'Quarterly Data 2001-2021'!R75</f>
        <v>1765.9</v>
      </c>
      <c r="F75" s="49">
        <f>+'Quarterly Data 2001-2021'!V75</f>
        <v>3526.5</v>
      </c>
      <c r="G75" s="49">
        <f>+'Quarterly Data 2001-2021'!Z75</f>
        <v>5280.7</v>
      </c>
      <c r="H75" s="41">
        <f>'Quarterly Data 2001-2021'!AD75</f>
        <v>7078</v>
      </c>
      <c r="I75" s="41">
        <f>'Quarterly Data 2001-2021'!AH75</f>
        <v>8009</v>
      </c>
      <c r="J75" s="41">
        <f>'Quarterly Data 2001-2021'!AL75</f>
        <v>9015</v>
      </c>
      <c r="K75" s="41">
        <f>'Quarterly Data 2001-2021'!AP75</f>
        <v>11740</v>
      </c>
      <c r="L75" s="41">
        <f>'Quarterly Data 2001-2021'!AT75</f>
        <v>14685</v>
      </c>
      <c r="M75" s="41">
        <f>'Quarterly Data 2001-2021'!AX75</f>
        <v>15228</v>
      </c>
      <c r="N75" s="41">
        <f>'Quarterly Data 2001-2021'!BB75</f>
        <v>17591</v>
      </c>
      <c r="O75" s="41">
        <f>'Quarterly Data 2001-2021'!BF75</f>
        <v>22632.810791880001</v>
      </c>
      <c r="P75" s="41">
        <f>'Quarterly Data 2001-2021'!BJ75</f>
        <v>30283.407479290006</v>
      </c>
      <c r="Q75" s="42">
        <f>+'Quarterly Data 2001-2021'!BN75</f>
        <v>34950</v>
      </c>
      <c r="R75" s="42">
        <f>+'Quarterly Data 2001-2021'!BR75</f>
        <v>43247.413639629958</v>
      </c>
      <c r="S75" s="42">
        <f>+'Quarterly Data 2001-2021'!BV75</f>
        <v>57893.447883410074</v>
      </c>
      <c r="T75" s="42">
        <f>+'Quarterly Data 2001-2021'!BZ75</f>
        <v>62769.989410650131</v>
      </c>
      <c r="U75" s="42">
        <f>+'Quarterly Data 2001-2021'!CD75</f>
        <v>77551.377652070019</v>
      </c>
      <c r="V75" s="46">
        <f>+((U75/B75)^(1/19))-1</f>
        <v>0.24387302658209631</v>
      </c>
    </row>
    <row r="76" spans="1:48" x14ac:dyDescent="0.2">
      <c r="A76" s="47" t="s">
        <v>113</v>
      </c>
      <c r="B76" s="53" t="s">
        <v>53</v>
      </c>
      <c r="C76" s="49" t="s">
        <v>53</v>
      </c>
      <c r="D76" s="49" t="s">
        <v>53</v>
      </c>
      <c r="E76" s="49" t="s">
        <v>53</v>
      </c>
      <c r="F76" s="49" t="s">
        <v>53</v>
      </c>
      <c r="G76" s="49" t="s">
        <v>53</v>
      </c>
      <c r="H76" s="49" t="s">
        <v>53</v>
      </c>
      <c r="I76" s="49" t="s">
        <v>53</v>
      </c>
      <c r="J76" s="49" t="s">
        <v>53</v>
      </c>
      <c r="K76" s="41">
        <f>'Quarterly Data 2001-2021'!AP76</f>
        <v>805</v>
      </c>
      <c r="L76" s="41">
        <f>'Quarterly Data 2001-2021'!AT76</f>
        <v>3302</v>
      </c>
      <c r="M76" s="41">
        <f>'Quarterly Data 2001-2021'!AX76</f>
        <v>4115</v>
      </c>
      <c r="N76" s="41">
        <f>'Quarterly Data 2001-2021'!BB76</f>
        <v>4693</v>
      </c>
      <c r="O76" s="41">
        <f>'Quarterly Data 2001-2021'!BF76</f>
        <v>6700</v>
      </c>
      <c r="P76" s="41">
        <f>'Quarterly Data 2001-2021'!BJ76</f>
        <v>7451.7904792900026</v>
      </c>
      <c r="Q76" s="42">
        <f>+'Quarterly Data 2001-2021'!BN76</f>
        <v>8575</v>
      </c>
      <c r="R76" s="42">
        <f>+'Quarterly Data 2001-2021'!BR76</f>
        <v>12096.771246049961</v>
      </c>
      <c r="S76" s="42">
        <f>+'Quarterly Data 2001-2021'!BV76</f>
        <v>19001.165883410074</v>
      </c>
      <c r="T76" s="42">
        <f>+'Quarterly Data 2001-2021'!BZ76</f>
        <v>22549.923947650135</v>
      </c>
      <c r="U76" s="42">
        <f>+'Quarterly Data 2001-2021'!CD76</f>
        <v>27734.519769890019</v>
      </c>
      <c r="V76" s="96" t="s">
        <v>37</v>
      </c>
    </row>
    <row r="77" spans="1:48" x14ac:dyDescent="0.2">
      <c r="A77" s="47" t="s">
        <v>114</v>
      </c>
      <c r="B77" s="53">
        <f>'Quarterly Data 2001-2021'!F77</f>
        <v>666</v>
      </c>
      <c r="C77" s="49">
        <f>'Quarterly Data 2001-2021'!J77</f>
        <v>344</v>
      </c>
      <c r="D77" s="49">
        <f>'Quarterly Data 2001-2021'!N77</f>
        <v>358</v>
      </c>
      <c r="E77" s="49">
        <f>'Quarterly Data 2001-2021'!R77</f>
        <v>408</v>
      </c>
      <c r="F77" s="49">
        <f>'Quarterly Data 2001-2021'!V77</f>
        <v>1239</v>
      </c>
      <c r="G77" s="49">
        <f>'Quarterly Data 2001-2021'!Z77</f>
        <v>735</v>
      </c>
      <c r="H77" s="41">
        <f>'Quarterly Data 2001-2021'!AD77</f>
        <v>708</v>
      </c>
      <c r="I77" s="41">
        <f>'Quarterly Data 2001-2021'!AH77</f>
        <v>645</v>
      </c>
      <c r="J77" s="41">
        <f>'Quarterly Data 2001-2021'!AL77</f>
        <v>747</v>
      </c>
      <c r="K77" s="41">
        <v>776</v>
      </c>
      <c r="L77" s="41">
        <v>823</v>
      </c>
      <c r="M77" s="41">
        <f>+'Quarterly Data 2001-2021'!AX77</f>
        <v>847</v>
      </c>
      <c r="N77" s="41">
        <f>+'Quarterly Data 2001-2021'!BB77</f>
        <v>813</v>
      </c>
      <c r="O77" s="41">
        <f>'Quarterly Data 2001-2021'!BF77</f>
        <v>895</v>
      </c>
      <c r="P77" s="41">
        <f>'Quarterly Data 2001-2021'!BJ77</f>
        <v>1086</v>
      </c>
      <c r="Q77" s="42">
        <f>+'Quarterly Data 2001-2021'!BN77</f>
        <v>1143</v>
      </c>
      <c r="R77" s="42">
        <f>+'Quarterly Data 2001-2021'!BR77</f>
        <v>1199</v>
      </c>
      <c r="S77" s="42">
        <f>+'Quarterly Data 2001-2021'!BV77</f>
        <v>1575.2389713</v>
      </c>
      <c r="T77" s="42">
        <f>+'Quarterly Data 2001-2021'!BZ77</f>
        <v>1420.53458574</v>
      </c>
      <c r="U77" s="42">
        <f>+'Quarterly Data 2001-2021'!CD77</f>
        <v>1630.0249868400001</v>
      </c>
      <c r="V77" s="46">
        <f>+((U77/B77)^(1/19))-1</f>
        <v>4.8235706281094082E-2</v>
      </c>
    </row>
    <row r="78" spans="1:48" s="31" customFormat="1" ht="15" x14ac:dyDescent="0.2">
      <c r="A78" s="54" t="s">
        <v>203</v>
      </c>
      <c r="B78" s="60">
        <f t="shared" ref="B78:Q78" si="17">SUM(B73:B75)</f>
        <v>8586.4</v>
      </c>
      <c r="C78" s="56">
        <f t="shared" si="17"/>
        <v>6765.9</v>
      </c>
      <c r="D78" s="56">
        <f t="shared" si="17"/>
        <v>11505.2</v>
      </c>
      <c r="E78" s="56">
        <f t="shared" si="17"/>
        <v>17302</v>
      </c>
      <c r="F78" s="56">
        <f t="shared" si="17"/>
        <v>31869.5</v>
      </c>
      <c r="G78" s="56">
        <f t="shared" si="17"/>
        <v>45524.7</v>
      </c>
      <c r="H78" s="56">
        <f t="shared" si="17"/>
        <v>48188</v>
      </c>
      <c r="I78" s="56">
        <f t="shared" si="17"/>
        <v>35902.101999999999</v>
      </c>
      <c r="J78" s="56">
        <f t="shared" si="17"/>
        <v>64423</v>
      </c>
      <c r="K78" s="56">
        <f t="shared" si="17"/>
        <v>85889</v>
      </c>
      <c r="L78" s="56">
        <f t="shared" si="17"/>
        <v>76782</v>
      </c>
      <c r="M78" s="56">
        <f t="shared" si="17"/>
        <v>88669</v>
      </c>
      <c r="N78" s="56">
        <f t="shared" si="17"/>
        <v>115841</v>
      </c>
      <c r="O78" s="56">
        <f t="shared" si="17"/>
        <v>147275.72024297999</v>
      </c>
      <c r="P78" s="56">
        <f t="shared" si="17"/>
        <v>198189.19435889157</v>
      </c>
      <c r="Q78" s="56">
        <f t="shared" si="17"/>
        <v>239145</v>
      </c>
      <c r="R78" s="56">
        <f>SUM(R73:R75)</f>
        <v>282931.00508217217</v>
      </c>
      <c r="S78" s="56">
        <f>SUM(S73:S75)</f>
        <v>299979.30384141317</v>
      </c>
      <c r="T78" s="56">
        <f>SUM(T73:T75)</f>
        <v>407718.72347228078</v>
      </c>
      <c r="U78" s="56">
        <f>SUM(U73:U75)</f>
        <v>570509.14320701535</v>
      </c>
      <c r="V78" s="267">
        <f>+((U78/B78)^(1/19))-1</f>
        <v>0.24714945024771207</v>
      </c>
      <c r="W78" s="421"/>
      <c r="X78" s="421"/>
      <c r="Y78" s="421"/>
      <c r="Z78" s="421"/>
      <c r="AA78" s="421"/>
      <c r="AB78" s="421"/>
      <c r="AC78" s="421"/>
      <c r="AD78" s="421"/>
      <c r="AE78" s="421"/>
      <c r="AF78" s="421"/>
      <c r="AG78" s="421"/>
      <c r="AH78" s="421"/>
      <c r="AI78" s="421"/>
      <c r="AJ78" s="421"/>
      <c r="AK78" s="421"/>
      <c r="AL78" s="421"/>
      <c r="AM78" s="421"/>
      <c r="AN78" s="421"/>
      <c r="AO78" s="421"/>
      <c r="AP78" s="421"/>
      <c r="AQ78" s="421"/>
      <c r="AR78" s="421"/>
      <c r="AS78" s="421"/>
      <c r="AT78" s="421"/>
      <c r="AU78" s="421"/>
      <c r="AV78" s="421"/>
    </row>
    <row r="79" spans="1:48" x14ac:dyDescent="0.2">
      <c r="A79" s="47" t="s">
        <v>143</v>
      </c>
      <c r="B79" s="53" t="s">
        <v>53</v>
      </c>
      <c r="C79" s="49">
        <f>'Quarterly Data 2001-2021'!J79</f>
        <v>21</v>
      </c>
      <c r="D79" s="49">
        <f>'Quarterly Data 2001-2021'!N79</f>
        <v>103</v>
      </c>
      <c r="E79" s="49">
        <f>'Quarterly Data 2001-2021'!R79</f>
        <v>330</v>
      </c>
      <c r="F79" s="49">
        <f>'Quarterly Data 2001-2021'!V79</f>
        <v>2470</v>
      </c>
      <c r="G79" s="49">
        <f>'Quarterly Data 2001-2021'!Z79</f>
        <v>4800</v>
      </c>
      <c r="H79" s="49">
        <f>'Quarterly Data 2001-2021'!AD79</f>
        <v>8404.6919999999991</v>
      </c>
      <c r="I79" s="49">
        <f>'Quarterly Data 2001-2021'!AH79</f>
        <v>8414.2470000000012</v>
      </c>
      <c r="J79" s="49">
        <f>'Quarterly Data 2001-2021'!AL79</f>
        <v>20093.672000000002</v>
      </c>
      <c r="K79" s="49">
        <f>'Quarterly Data 2001-2021'!AP79</f>
        <v>30919.100000000002</v>
      </c>
      <c r="L79" s="49">
        <f>'Quarterly Data 2001-2021'!AT79</f>
        <v>29750.070000000003</v>
      </c>
      <c r="M79" s="49">
        <f>'Quarterly Data 2001-2021'!AX79</f>
        <v>34452.1</v>
      </c>
      <c r="N79" s="49">
        <f>'Quarterly Data 2001-2021'!BB79</f>
        <v>44520.521440119905</v>
      </c>
      <c r="O79" s="49">
        <f>'Quarterly Data 2001-2021'!BF79</f>
        <v>54325.300347560158</v>
      </c>
      <c r="P79" s="49">
        <f>'Quarterly Data 2001-2021'!BJ79</f>
        <v>70609.049051020484</v>
      </c>
      <c r="Q79" s="50">
        <f>+'Quarterly Data 2001-2021'!BN79</f>
        <v>80251.15395863133</v>
      </c>
      <c r="R79" s="50">
        <f>+'Quarterly Data 2001-2021'!BR79</f>
        <v>90758.166599041899</v>
      </c>
      <c r="S79" s="50">
        <f>+'Quarterly Data 2001-2021'!BV79</f>
        <v>90954.281879511385</v>
      </c>
      <c r="T79" s="50">
        <f>+'Quarterly Data 2001-2021'!BZ79</f>
        <v>122142.64216760268</v>
      </c>
      <c r="U79" s="50">
        <f>+'Quarterly Data 2001-2021'!CD79</f>
        <v>162637.90197180252</v>
      </c>
      <c r="V79" s="96">
        <f>+((U79/C79)^(1/18))-1</f>
        <v>0.64458260631655673</v>
      </c>
    </row>
    <row r="80" spans="1:48" x14ac:dyDescent="0.2">
      <c r="A80" s="112" t="s">
        <v>169</v>
      </c>
      <c r="B80" s="218" t="str">
        <f>'Quarterly Data 2001-2021'!F80</f>
        <v>-</v>
      </c>
      <c r="C80" s="114" t="str">
        <f>'Quarterly Data 2001-2021'!J80</f>
        <v>-</v>
      </c>
      <c r="D80" s="114" t="str">
        <f>'Quarterly Data 2001-2021'!N80</f>
        <v>-</v>
      </c>
      <c r="E80" s="114" t="str">
        <f>'Quarterly Data 2001-2021'!R80</f>
        <v>-</v>
      </c>
      <c r="F80" s="114" t="str">
        <f>'Quarterly Data 2001-2021'!V80</f>
        <v>-</v>
      </c>
      <c r="G80" s="114" t="str">
        <f>'Quarterly Data 2001-2021'!Z80</f>
        <v>-</v>
      </c>
      <c r="H80" s="114">
        <f>'Quarterly Data 2001-2021'!AD80</f>
        <v>138.80000000000001</v>
      </c>
      <c r="I80" s="114">
        <f>'Quarterly Data 2001-2021'!AH80</f>
        <v>280.505</v>
      </c>
      <c r="J80" s="114">
        <f>'Quarterly Data 2001-2021'!AL80</f>
        <v>633</v>
      </c>
      <c r="K80" s="114">
        <f>'Quarterly Data 2001-2021'!AP80</f>
        <v>1114.5999999999999</v>
      </c>
      <c r="L80" s="114">
        <f>'Quarterly Data 2001-2021'!AT80</f>
        <v>1466</v>
      </c>
      <c r="M80" s="114">
        <f>'Quarterly Data 2001-2021'!AX80</f>
        <v>2397.6</v>
      </c>
      <c r="N80" s="114">
        <f>'Quarterly Data 2001-2021'!BB80</f>
        <v>3891.0845771999493</v>
      </c>
      <c r="O80" s="114">
        <f>'Quarterly Data 2001-2021'!BF80</f>
        <v>5930.8440884998363</v>
      </c>
      <c r="P80" s="114">
        <f>'Quarterly Data 2001-2021'!BJ80</f>
        <v>8519.5853409607989</v>
      </c>
      <c r="Q80" s="115">
        <f>+'Quarterly Data 2001-2021'!BN80</f>
        <v>12068.468147511594</v>
      </c>
      <c r="R80" s="115">
        <f>+'Quarterly Data 2001-2021'!BR80</f>
        <v>16113.825238342812</v>
      </c>
      <c r="S80" s="114">
        <f>+'Quarterly Data 2001-2021'!BV80</f>
        <v>18596.100691792868</v>
      </c>
      <c r="T80" s="114">
        <f>+'Quarterly Data 2001-2021'!BZ80</f>
        <v>26725.620428963008</v>
      </c>
      <c r="U80" s="114">
        <f>+'Quarterly Data 2001-2021'!CD80</f>
        <v>34153.41361508242</v>
      </c>
      <c r="V80" s="117">
        <f>+((U80/H80)^(1/13))-1</f>
        <v>0.52730759582823805</v>
      </c>
    </row>
    <row r="81" spans="1:48" x14ac:dyDescent="0.2">
      <c r="A81" s="11"/>
      <c r="B81" s="8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287"/>
      <c r="R81" s="287"/>
      <c r="S81" s="287"/>
      <c r="T81" s="287"/>
      <c r="U81" s="287"/>
      <c r="V81" s="38"/>
    </row>
    <row r="82" spans="1:48" x14ac:dyDescent="0.2">
      <c r="A82" s="304" t="s">
        <v>159</v>
      </c>
      <c r="B82" s="8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3"/>
      <c r="R82" s="33"/>
      <c r="S82" s="33"/>
      <c r="T82" s="33"/>
      <c r="U82" s="33"/>
      <c r="V82" s="38"/>
    </row>
    <row r="83" spans="1:48" x14ac:dyDescent="0.2">
      <c r="A83" s="39" t="s">
        <v>167</v>
      </c>
      <c r="B83" s="83" t="s">
        <v>53</v>
      </c>
      <c r="C83" s="41" t="s">
        <v>53</v>
      </c>
      <c r="D83" s="41" t="s">
        <v>53</v>
      </c>
      <c r="E83" s="41" t="s">
        <v>53</v>
      </c>
      <c r="F83" s="41" t="s">
        <v>53</v>
      </c>
      <c r="G83" s="41" t="s">
        <v>53</v>
      </c>
      <c r="H83" s="41" t="s">
        <v>53</v>
      </c>
      <c r="I83" s="41" t="s">
        <v>53</v>
      </c>
      <c r="J83" s="41" t="s">
        <v>53</v>
      </c>
      <c r="K83" s="41" t="s">
        <v>53</v>
      </c>
      <c r="L83" s="41" t="s">
        <v>53</v>
      </c>
      <c r="M83" s="41" t="s">
        <v>53</v>
      </c>
      <c r="N83" s="41" t="s">
        <v>53</v>
      </c>
      <c r="O83" s="41">
        <f>'Quarterly Data 2001-2021'!BF83</f>
        <v>82019.061029409946</v>
      </c>
      <c r="P83" s="41">
        <f>'Quarterly Data 2001-2021'!BJ83</f>
        <v>111208.95146228168</v>
      </c>
      <c r="Q83" s="42">
        <f>+'Quarterly Data 2001-2021'!BN83</f>
        <v>130339.15425019324</v>
      </c>
      <c r="R83" s="42">
        <f>+'Quarterly Data 2001-2021'!BR83</f>
        <v>157187.77352014344</v>
      </c>
      <c r="S83" s="42">
        <f>+'Quarterly Data 2001-2021'!BV83</f>
        <v>166362.10075204671</v>
      </c>
      <c r="T83" s="42">
        <f>+'Quarterly Data 2001-2021'!BZ83</f>
        <v>228251.45340364997</v>
      </c>
      <c r="U83" s="42">
        <f>+'Quarterly Data 2001-2021'!CD83</f>
        <v>327705.34571227297</v>
      </c>
      <c r="V83" s="46" t="s">
        <v>37</v>
      </c>
    </row>
    <row r="84" spans="1:48" x14ac:dyDescent="0.2">
      <c r="A84" s="47" t="s">
        <v>145</v>
      </c>
      <c r="B84" s="53" t="s">
        <v>53</v>
      </c>
      <c r="C84" s="49" t="s">
        <v>53</v>
      </c>
      <c r="D84" s="49" t="s">
        <v>53</v>
      </c>
      <c r="E84" s="49" t="s">
        <v>53</v>
      </c>
      <c r="F84" s="49" t="s">
        <v>53</v>
      </c>
      <c r="G84" s="49" t="s">
        <v>53</v>
      </c>
      <c r="H84" s="49" t="s">
        <v>53</v>
      </c>
      <c r="I84" s="49" t="s">
        <v>53</v>
      </c>
      <c r="J84" s="49" t="s">
        <v>53</v>
      </c>
      <c r="K84" s="49" t="s">
        <v>53</v>
      </c>
      <c r="L84" s="49" t="s">
        <v>53</v>
      </c>
      <c r="M84" s="49" t="s">
        <v>53</v>
      </c>
      <c r="N84" s="49" t="s">
        <v>53</v>
      </c>
      <c r="O84" s="41">
        <f>'Quarterly Data 2001-2021'!BF84</f>
        <v>60790.146991810048</v>
      </c>
      <c r="P84" s="41">
        <f>'Quarterly Data 2001-2021'!BJ84</f>
        <v>80613.59602131987</v>
      </c>
      <c r="Q84" s="42">
        <f>+'Quarterly Data 2001-2021'!BN84</f>
        <v>100916.58799842992</v>
      </c>
      <c r="R84" s="42">
        <f>+'Quarterly Data 2001-2021'!BR84</f>
        <v>115813.57226822867</v>
      </c>
      <c r="S84" s="42">
        <f>+'Quarterly Data 2001-2021'!BV84</f>
        <v>122021.51691237986</v>
      </c>
      <c r="T84" s="42">
        <f>+'Quarterly Data 2001-2021'!BZ84</f>
        <v>164495.6456089296</v>
      </c>
      <c r="U84" s="42">
        <f>+'Quarterly Data 2001-2021'!CD84</f>
        <v>221280.97164359046</v>
      </c>
      <c r="V84" s="96" t="s">
        <v>37</v>
      </c>
    </row>
    <row r="85" spans="1:48" x14ac:dyDescent="0.2">
      <c r="A85" s="47" t="s">
        <v>146</v>
      </c>
      <c r="B85" s="53" t="s">
        <v>53</v>
      </c>
      <c r="C85" s="49" t="s">
        <v>53</v>
      </c>
      <c r="D85" s="49" t="s">
        <v>53</v>
      </c>
      <c r="E85" s="49" t="s">
        <v>53</v>
      </c>
      <c r="F85" s="49" t="s">
        <v>53</v>
      </c>
      <c r="G85" s="49" t="s">
        <v>53</v>
      </c>
      <c r="H85" s="49" t="s">
        <v>53</v>
      </c>
      <c r="I85" s="49" t="s">
        <v>53</v>
      </c>
      <c r="J85" s="49" t="s">
        <v>53</v>
      </c>
      <c r="K85" s="49" t="s">
        <v>53</v>
      </c>
      <c r="L85" s="49" t="s">
        <v>53</v>
      </c>
      <c r="M85" s="49" t="s">
        <v>53</v>
      </c>
      <c r="N85" s="49" t="s">
        <v>53</v>
      </c>
      <c r="O85" s="41">
        <f>'Quarterly Data 2001-2021'!BF85</f>
        <v>4466.5122217599965</v>
      </c>
      <c r="P85" s="41">
        <f>'Quarterly Data 2001-2021'!BJ85</f>
        <v>6366.6468752899973</v>
      </c>
      <c r="Q85" s="42">
        <f>+'Quarterly Data 2001-2021'!BN85</f>
        <v>7889.0247029300044</v>
      </c>
      <c r="R85" s="42">
        <f>+'Quarterly Data 2001-2021'!BR85</f>
        <v>9929.6592938000449</v>
      </c>
      <c r="S85" s="42">
        <f>+'Quarterly Data 2001-2021'!BV85</f>
        <v>11595.686177000007</v>
      </c>
      <c r="T85" s="42">
        <f>+'Quarterly Data 2001-2021'!BZ85</f>
        <v>14971.624459720008</v>
      </c>
      <c r="U85" s="42">
        <f>+'Quarterly Data 2001-2021'!CD85</f>
        <v>21522.825851180045</v>
      </c>
      <c r="V85" s="96" t="s">
        <v>37</v>
      </c>
    </row>
    <row r="86" spans="1:48" ht="15" x14ac:dyDescent="0.2">
      <c r="A86" s="256" t="s">
        <v>203</v>
      </c>
      <c r="B86" s="342" t="s">
        <v>53</v>
      </c>
      <c r="C86" s="255" t="s">
        <v>53</v>
      </c>
      <c r="D86" s="255" t="s">
        <v>53</v>
      </c>
      <c r="E86" s="255" t="s">
        <v>53</v>
      </c>
      <c r="F86" s="255" t="s">
        <v>53</v>
      </c>
      <c r="G86" s="255" t="s">
        <v>53</v>
      </c>
      <c r="H86" s="255" t="s">
        <v>53</v>
      </c>
      <c r="I86" s="255" t="s">
        <v>53</v>
      </c>
      <c r="J86" s="255" t="s">
        <v>53</v>
      </c>
      <c r="K86" s="255" t="s">
        <v>53</v>
      </c>
      <c r="L86" s="255" t="s">
        <v>53</v>
      </c>
      <c r="M86" s="255" t="s">
        <v>53</v>
      </c>
      <c r="N86" s="255" t="s">
        <v>53</v>
      </c>
      <c r="O86" s="255">
        <f t="shared" ref="O86:T86" si="18">SUM(O83:O85)</f>
        <v>147275.72024297999</v>
      </c>
      <c r="P86" s="255">
        <f t="shared" si="18"/>
        <v>198189.19435889155</v>
      </c>
      <c r="Q86" s="255">
        <f t="shared" si="18"/>
        <v>239144.76695155317</v>
      </c>
      <c r="R86" s="255">
        <f t="shared" si="18"/>
        <v>282931.00508217217</v>
      </c>
      <c r="S86" s="255">
        <f t="shared" si="18"/>
        <v>299979.30384142656</v>
      </c>
      <c r="T86" s="255">
        <f t="shared" si="18"/>
        <v>407718.72347229952</v>
      </c>
      <c r="U86" s="255">
        <f t="shared" ref="U86" si="19">SUM(U83:U85)</f>
        <v>570509.14320704341</v>
      </c>
      <c r="V86" s="117" t="s">
        <v>37</v>
      </c>
      <c r="X86" s="432"/>
      <c r="Y86" s="432"/>
    </row>
    <row r="87" spans="1:48" x14ac:dyDescent="0.2">
      <c r="A87" s="11"/>
      <c r="B87" s="8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3"/>
      <c r="R87" s="33"/>
      <c r="S87" s="33"/>
      <c r="T87" s="33"/>
      <c r="U87" s="33"/>
      <c r="V87" s="38"/>
    </row>
    <row r="88" spans="1:48" x14ac:dyDescent="0.2">
      <c r="A88" s="304" t="s">
        <v>160</v>
      </c>
      <c r="B88" s="8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3"/>
      <c r="R88" s="33"/>
      <c r="S88" s="33"/>
      <c r="T88" s="33"/>
      <c r="U88" s="33"/>
      <c r="V88" s="38"/>
    </row>
    <row r="89" spans="1:48" x14ac:dyDescent="0.2">
      <c r="A89" s="39" t="s">
        <v>129</v>
      </c>
      <c r="B89" s="83">
        <f>+'Quarterly Data 2001-2021'!F89</f>
        <v>214.4</v>
      </c>
      <c r="C89" s="41">
        <f>+'Quarterly Data 2001-2021'!J89</f>
        <v>247.9</v>
      </c>
      <c r="D89" s="41">
        <f>+'Quarterly Data 2001-2021'!N89</f>
        <v>491.2</v>
      </c>
      <c r="E89" s="41">
        <f>+'Quarterly Data 2001-2021'!R89</f>
        <v>1100</v>
      </c>
      <c r="F89" s="41">
        <f>+'Quarterly Data 2001-2021'!V89</f>
        <v>2052.4</v>
      </c>
      <c r="G89" s="41">
        <f>+'Quarterly Data 2001-2021'!Z89</f>
        <v>2290.3000000000002</v>
      </c>
      <c r="H89" s="41">
        <f>'Quarterly Data 2001-2021'!AD89</f>
        <v>2301</v>
      </c>
      <c r="I89" s="41">
        <f>'Quarterly Data 2001-2021'!AH89</f>
        <v>1253</v>
      </c>
      <c r="J89" s="41">
        <f>'Quarterly Data 2001-2021'!AL89</f>
        <v>3125</v>
      </c>
      <c r="K89" s="41">
        <f>'Quarterly Data 2001-2021'!AP89</f>
        <v>3861</v>
      </c>
      <c r="L89" s="41">
        <f>'Quarterly Data 2001-2021'!AT89</f>
        <v>2557</v>
      </c>
      <c r="M89" s="41">
        <f>'Quarterly Data 2001-2021'!AX89</f>
        <v>2861</v>
      </c>
      <c r="N89" s="41">
        <f>'Quarterly Data 2001-2021'!BB89</f>
        <v>3286</v>
      </c>
      <c r="O89" s="41">
        <f>'Quarterly Data 2001-2021'!BF89</f>
        <v>5348.72024297998</v>
      </c>
      <c r="P89" s="41">
        <f>'Quarterly Data 2001-2021'!BJ89</f>
        <v>6540.2121438000004</v>
      </c>
      <c r="Q89" s="42">
        <f>+'Quarterly Data 2001-2021'!BN89</f>
        <v>8183</v>
      </c>
      <c r="R89" s="42">
        <f>+'Quarterly Data 2001-2021'!BR89</f>
        <v>9514.5441704100012</v>
      </c>
      <c r="S89" s="42">
        <f>+'Quarterly Data 2001-2021'!BV89</f>
        <v>10350.32</v>
      </c>
      <c r="T89" s="42">
        <f>+'Quarterly Data 2001-2021'!BZ89</f>
        <v>13115.988547999999</v>
      </c>
      <c r="U89" s="42">
        <f>+'Quarterly Data 2001-2021'!CD89</f>
        <v>16298.1547474</v>
      </c>
      <c r="V89" s="46">
        <f>+((U89/B89)^(1/19))-1</f>
        <v>0.25601682077102139</v>
      </c>
    </row>
    <row r="90" spans="1:48" x14ac:dyDescent="0.2">
      <c r="A90" s="47" t="s">
        <v>130</v>
      </c>
      <c r="B90" s="53">
        <f>+'Quarterly Data 2001-2021'!F90</f>
        <v>214.4</v>
      </c>
      <c r="C90" s="49">
        <f>+'Quarterly Data 2001-2021'!J90</f>
        <v>247.9</v>
      </c>
      <c r="D90" s="49">
        <f>+'Quarterly Data 2001-2021'!N90</f>
        <v>491.2</v>
      </c>
      <c r="E90" s="49">
        <f>+'Quarterly Data 2001-2021'!R90</f>
        <v>1100</v>
      </c>
      <c r="F90" s="49">
        <f>+'Quarterly Data 2001-2021'!V90</f>
        <v>2052.4</v>
      </c>
      <c r="G90" s="49">
        <f>+'Quarterly Data 2001-2021'!Z90</f>
        <v>2290.3000000000002</v>
      </c>
      <c r="H90" s="49">
        <f>'Quarterly Data 2001-2021'!AD90</f>
        <v>2301</v>
      </c>
      <c r="I90" s="49">
        <f>'Quarterly Data 2001-2021'!AH90</f>
        <v>1253</v>
      </c>
      <c r="J90" s="49">
        <f>'Quarterly Data 2001-2021'!AL90</f>
        <v>3125</v>
      </c>
      <c r="K90" s="49">
        <f>'Quarterly Data 2001-2021'!AP90</f>
        <v>3861</v>
      </c>
      <c r="L90" s="49">
        <f>'Quarterly Data 2001-2021'!AT90</f>
        <v>2557</v>
      </c>
      <c r="M90" s="49">
        <f>'Quarterly Data 2001-2021'!AX90</f>
        <v>2861</v>
      </c>
      <c r="N90" s="49">
        <f>'Quarterly Data 2001-2021'!BB90</f>
        <v>3192</v>
      </c>
      <c r="O90" s="49">
        <f>'Quarterly Data 2001-2021'!BF90</f>
        <v>3334.72024297998</v>
      </c>
      <c r="P90" s="49">
        <f>'Quarterly Data 2001-2021'!BJ90</f>
        <v>3821.5083425100011</v>
      </c>
      <c r="Q90" s="50">
        <f>+'Quarterly Data 2001-2021'!BN90</f>
        <v>4127</v>
      </c>
      <c r="R90" s="50">
        <f>+'Quarterly Data 2001-2021'!BR90</f>
        <v>4230.8201392299952</v>
      </c>
      <c r="S90" s="42">
        <f>+'Quarterly Data 2001-2021'!BV90</f>
        <v>4366.6200050699999</v>
      </c>
      <c r="T90" s="42">
        <f>+'Quarterly Data 2001-2021'!BZ90</f>
        <v>5164.35258213</v>
      </c>
      <c r="U90" s="42">
        <f>+'Quarterly Data 2001-2021'!CD90</f>
        <v>6973.92203865999</v>
      </c>
      <c r="V90" s="46">
        <f>+((U90/B90)^(1/19))-1</f>
        <v>0.20113611895599703</v>
      </c>
    </row>
    <row r="91" spans="1:48" x14ac:dyDescent="0.2">
      <c r="A91" s="47" t="s">
        <v>133</v>
      </c>
      <c r="B91" s="53" t="str">
        <f>'Quarterly Data 2001-2021'!F91</f>
        <v>-</v>
      </c>
      <c r="C91" s="49" t="str">
        <f>'Quarterly Data 2001-2021'!J91</f>
        <v>-</v>
      </c>
      <c r="D91" s="49" t="str">
        <f>'Quarterly Data 2001-2021'!N91</f>
        <v>-</v>
      </c>
      <c r="E91" s="49" t="str">
        <f>'Quarterly Data 2001-2021'!R91</f>
        <v>-</v>
      </c>
      <c r="F91" s="49" t="str">
        <f>'Quarterly Data 2001-2021'!V91</f>
        <v>-</v>
      </c>
      <c r="G91" s="49" t="str">
        <f>'Quarterly Data 2001-2021'!Z91</f>
        <v>-</v>
      </c>
      <c r="H91" s="49" t="str">
        <f>'Quarterly Data 2001-2021'!AD91</f>
        <v>-</v>
      </c>
      <c r="I91" s="49" t="str">
        <f>'Quarterly Data 2001-2021'!AH91</f>
        <v>-</v>
      </c>
      <c r="J91" s="49" t="str">
        <f>'Quarterly Data 2001-2021'!AL91</f>
        <v>-</v>
      </c>
      <c r="K91" s="49" t="str">
        <f>'Quarterly Data 2001-2021'!AM91</f>
        <v>-</v>
      </c>
      <c r="L91" s="49" t="str">
        <f>'Quarterly Data 2001-2021'!AN91</f>
        <v>-</v>
      </c>
      <c r="M91" s="49" t="str">
        <f>'Quarterly Data 2001-2021'!AO91</f>
        <v>-</v>
      </c>
      <c r="N91" s="49">
        <f>'Quarterly Data 2001-2021'!BB91</f>
        <v>94</v>
      </c>
      <c r="O91" s="49">
        <f>'Quarterly Data 2001-2021'!BF91</f>
        <v>2014</v>
      </c>
      <c r="P91" s="49">
        <f>'Quarterly Data 2001-2021'!BJ91</f>
        <v>2718.7038012899993</v>
      </c>
      <c r="Q91" s="50">
        <f>+'Quarterly Data 2001-2021'!BN91</f>
        <v>4056</v>
      </c>
      <c r="R91" s="50">
        <f>+'Quarterly Data 2001-2021'!BR91</f>
        <v>5283.724031180006</v>
      </c>
      <c r="S91" s="42">
        <f>+'Quarterly Data 2001-2021'!BV91</f>
        <v>5983.6999949299998</v>
      </c>
      <c r="T91" s="42">
        <f>+'Quarterly Data 2001-2021'!BZ91</f>
        <v>7951.6359658700003</v>
      </c>
      <c r="U91" s="42">
        <f>+'Quarterly Data 2001-2021'!CD91</f>
        <v>9324.2327087400099</v>
      </c>
      <c r="V91" s="96" t="s">
        <v>37</v>
      </c>
    </row>
    <row r="92" spans="1:48" x14ac:dyDescent="0.2">
      <c r="A92" s="47" t="s">
        <v>131</v>
      </c>
      <c r="B92" s="53" t="str">
        <f>'Quarterly Data 2001-2021'!F92</f>
        <v>-</v>
      </c>
      <c r="C92" s="49" t="str">
        <f>'Quarterly Data 2001-2021'!J92</f>
        <v>-</v>
      </c>
      <c r="D92" s="49" t="str">
        <f>'Quarterly Data 2001-2021'!N92</f>
        <v>-</v>
      </c>
      <c r="E92" s="49" t="str">
        <f>'Quarterly Data 2001-2021'!R92</f>
        <v>-</v>
      </c>
      <c r="F92" s="49" t="str">
        <f>'Quarterly Data 2001-2021'!V92</f>
        <v>-</v>
      </c>
      <c r="G92" s="49" t="str">
        <f>'Quarterly Data 2001-2021'!Z92</f>
        <v>-</v>
      </c>
      <c r="H92" s="49" t="str">
        <f>'Quarterly Data 2001-2021'!AD92</f>
        <v>-</v>
      </c>
      <c r="I92" s="49" t="str">
        <f>'Quarterly Data 2001-2021'!AH92</f>
        <v>-</v>
      </c>
      <c r="J92" s="49" t="str">
        <f>'Quarterly Data 2001-2021'!AL92</f>
        <v>-</v>
      </c>
      <c r="K92" s="49" t="str">
        <f>'Quarterly Data 2001-2021'!AM92</f>
        <v>-</v>
      </c>
      <c r="L92" s="49" t="str">
        <f>'Quarterly Data 2001-2021'!AN92</f>
        <v>-</v>
      </c>
      <c r="M92" s="49" t="str">
        <f>'Quarterly Data 2001-2021'!AO92</f>
        <v>-</v>
      </c>
      <c r="N92" s="49" t="str">
        <f>'Quarterly Data 2001-2021'!BB92</f>
        <v>-</v>
      </c>
      <c r="O92" s="49" t="str">
        <f>'Quarterly Data 2001-2021'!BF92</f>
        <v>-</v>
      </c>
      <c r="P92" s="49" t="str">
        <f>'Quarterly Data 2001-2021'!BJ92</f>
        <v>-</v>
      </c>
      <c r="Q92" s="50" t="str">
        <f>+'Quarterly Data 2001-2021'!BN92</f>
        <v>-</v>
      </c>
      <c r="R92" s="50" t="str">
        <f>+'Quarterly Data 2001-2021'!BR92</f>
        <v>-</v>
      </c>
      <c r="S92" s="42">
        <f>+'Quarterly Data 2001-2021'!BV92</f>
        <v>4209.5469830000002</v>
      </c>
      <c r="T92" s="42">
        <f>+'Quarterly Data 2001-2021'!BZ92</f>
        <v>9843.8792489999996</v>
      </c>
      <c r="U92" s="42">
        <f>+'Quarterly Data 2001-2021'!CD92</f>
        <v>13556.053301</v>
      </c>
      <c r="V92" s="96" t="s">
        <v>37</v>
      </c>
    </row>
    <row r="93" spans="1:48" s="31" customFormat="1" ht="15" x14ac:dyDescent="0.2">
      <c r="A93" s="256" t="s">
        <v>204</v>
      </c>
      <c r="B93" s="261">
        <f>+'Quarterly Data 2001-2021'!F93</f>
        <v>214.4</v>
      </c>
      <c r="C93" s="255">
        <f>+'Quarterly Data 2001-2021'!J93</f>
        <v>247.9</v>
      </c>
      <c r="D93" s="255">
        <f>+'Quarterly Data 2001-2021'!N93</f>
        <v>491.2</v>
      </c>
      <c r="E93" s="255">
        <f>+'Quarterly Data 2001-2021'!R93</f>
        <v>1100</v>
      </c>
      <c r="F93" s="255">
        <f>+'Quarterly Data 2001-2021'!V93</f>
        <v>2052.4</v>
      </c>
      <c r="G93" s="255">
        <f>+'Quarterly Data 2001-2021'!Z93</f>
        <v>2290.3000000000002</v>
      </c>
      <c r="H93" s="255">
        <f>'Quarterly Data 2001-2021'!AD93</f>
        <v>2301</v>
      </c>
      <c r="I93" s="255">
        <f>'Quarterly Data 2001-2021'!AH93</f>
        <v>1253</v>
      </c>
      <c r="J93" s="255">
        <f>'Quarterly Data 2001-2021'!AL93</f>
        <v>3125</v>
      </c>
      <c r="K93" s="255">
        <f>'Quarterly Data 2001-2021'!AP93</f>
        <v>3861</v>
      </c>
      <c r="L93" s="255">
        <f>'Quarterly Data 2001-2021'!AT93</f>
        <v>2557</v>
      </c>
      <c r="M93" s="255">
        <f>'Quarterly Data 2001-2021'!AX93</f>
        <v>2861</v>
      </c>
      <c r="N93" s="255">
        <f>'Quarterly Data 2001-2021'!BB93</f>
        <v>3286</v>
      </c>
      <c r="O93" s="255">
        <f>'Quarterly Data 2001-2021'!BF93</f>
        <v>5348.72024297998</v>
      </c>
      <c r="P93" s="255">
        <f>'Quarterly Data 2001-2021'!BJ93</f>
        <v>6540.2121438000004</v>
      </c>
      <c r="Q93" s="254">
        <f>+'Quarterly Data 2001-2021'!BN93</f>
        <v>8183</v>
      </c>
      <c r="R93" s="254">
        <f>+'Quarterly Data 2001-2021'!BR93</f>
        <v>9514.5441704100012</v>
      </c>
      <c r="S93" s="254">
        <f>+'Quarterly Data 2001-2021'!BV93</f>
        <v>14559.866983</v>
      </c>
      <c r="T93" s="254">
        <f>+'Quarterly Data 2001-2021'!BZ93</f>
        <v>22959.867796999999</v>
      </c>
      <c r="U93" s="254">
        <f>+'Quarterly Data 2001-2021'!CD93</f>
        <v>29854.2080484</v>
      </c>
      <c r="V93" s="257">
        <f>+((U93/B93)^(1/19))-1</f>
        <v>0.29667329623668293</v>
      </c>
      <c r="W93" s="421"/>
      <c r="X93" s="421"/>
      <c r="Y93" s="421"/>
      <c r="Z93" s="421"/>
      <c r="AA93" s="421"/>
      <c r="AB93" s="421"/>
      <c r="AC93" s="421"/>
      <c r="AD93" s="421"/>
      <c r="AE93" s="421"/>
      <c r="AF93" s="421"/>
      <c r="AG93" s="421"/>
      <c r="AH93" s="421"/>
      <c r="AI93" s="421"/>
      <c r="AJ93" s="421"/>
      <c r="AK93" s="421"/>
      <c r="AL93" s="421"/>
      <c r="AM93" s="421"/>
      <c r="AN93" s="421"/>
      <c r="AO93" s="421"/>
      <c r="AP93" s="421"/>
      <c r="AQ93" s="421"/>
      <c r="AR93" s="421"/>
      <c r="AS93" s="421"/>
      <c r="AT93" s="421"/>
      <c r="AU93" s="421"/>
      <c r="AV93" s="421"/>
    </row>
    <row r="94" spans="1:48" x14ac:dyDescent="0.2">
      <c r="A94" s="11"/>
      <c r="B94" s="8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107"/>
      <c r="Q94" s="119"/>
      <c r="R94" s="119"/>
      <c r="S94" s="119"/>
      <c r="T94" s="119"/>
      <c r="U94" s="119"/>
      <c r="V94" s="38"/>
    </row>
    <row r="95" spans="1:48" x14ac:dyDescent="0.2">
      <c r="A95" s="304" t="s">
        <v>166</v>
      </c>
      <c r="B95" s="8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107"/>
      <c r="Q95" s="119"/>
      <c r="R95" s="119"/>
      <c r="S95" s="119"/>
      <c r="T95" s="119"/>
      <c r="U95" s="119"/>
      <c r="V95" s="38"/>
    </row>
    <row r="96" spans="1:48" x14ac:dyDescent="0.2">
      <c r="A96" s="39" t="s">
        <v>104</v>
      </c>
      <c r="B96" s="172">
        <f>+B75/B78</f>
        <v>0.14290040063356005</v>
      </c>
      <c r="C96" s="169">
        <f t="shared" ref="C96:T96" si="20">+C75/C78</f>
        <v>0.15241135695177288</v>
      </c>
      <c r="D96" s="169">
        <f t="shared" si="20"/>
        <v>0.12736849424608004</v>
      </c>
      <c r="E96" s="169">
        <f t="shared" si="20"/>
        <v>0.10206334527800255</v>
      </c>
      <c r="F96" s="169">
        <f t="shared" si="20"/>
        <v>0.11065438742371232</v>
      </c>
      <c r="G96" s="169">
        <f t="shared" si="20"/>
        <v>0.11599637120068886</v>
      </c>
      <c r="H96" s="169">
        <f t="shared" si="20"/>
        <v>0.1468830414211007</v>
      </c>
      <c r="I96" s="169">
        <f t="shared" si="20"/>
        <v>0.22307886039653055</v>
      </c>
      <c r="J96" s="169">
        <f t="shared" si="20"/>
        <v>0.13993449544417366</v>
      </c>
      <c r="K96" s="169">
        <f t="shared" si="20"/>
        <v>0.13668805085633784</v>
      </c>
      <c r="L96" s="169">
        <f t="shared" si="20"/>
        <v>0.1912557630694694</v>
      </c>
      <c r="M96" s="169">
        <f t="shared" si="20"/>
        <v>0.17173984143274426</v>
      </c>
      <c r="N96" s="169">
        <f t="shared" si="20"/>
        <v>0.15185469738693555</v>
      </c>
      <c r="O96" s="169">
        <f t="shared" si="20"/>
        <v>0.15367645634011973</v>
      </c>
      <c r="P96" s="169">
        <f t="shared" si="20"/>
        <v>0.15280049740981941</v>
      </c>
      <c r="Q96" s="169">
        <f t="shared" si="20"/>
        <v>0.14614564385623785</v>
      </c>
      <c r="R96" s="169">
        <f t="shared" si="20"/>
        <v>0.15285498182523169</v>
      </c>
      <c r="S96" s="169">
        <f t="shared" si="20"/>
        <v>0.19299147355184201</v>
      </c>
      <c r="T96" s="169">
        <f t="shared" si="20"/>
        <v>0.15395414975323699</v>
      </c>
      <c r="U96" s="169">
        <f>+U75/U78</f>
        <v>0.13593362801537026</v>
      </c>
      <c r="V96" s="46">
        <f>+((U96/B96)^(1/19))-1</f>
        <v>-2.6271299441819052E-3</v>
      </c>
    </row>
    <row r="97" spans="1:28" x14ac:dyDescent="0.2">
      <c r="A97" s="47" t="s">
        <v>135</v>
      </c>
      <c r="B97" s="135">
        <f t="shared" ref="B97:T97" si="21">B33/B89</f>
        <v>0</v>
      </c>
      <c r="C97" s="134">
        <f t="shared" si="21"/>
        <v>-4.0338846308995562E-4</v>
      </c>
      <c r="D97" s="134">
        <f t="shared" si="21"/>
        <v>0</v>
      </c>
      <c r="E97" s="134">
        <f t="shared" si="21"/>
        <v>0</v>
      </c>
      <c r="F97" s="134">
        <f t="shared" si="21"/>
        <v>4.8723445722081464E-5</v>
      </c>
      <c r="G97" s="134">
        <f t="shared" si="21"/>
        <v>0</v>
      </c>
      <c r="H97" s="134">
        <f t="shared" si="21"/>
        <v>-6.3016079965232509E-4</v>
      </c>
      <c r="I97" s="134">
        <f t="shared" si="21"/>
        <v>0</v>
      </c>
      <c r="J97" s="134">
        <f t="shared" si="21"/>
        <v>0</v>
      </c>
      <c r="K97" s="134">
        <f t="shared" si="21"/>
        <v>0</v>
      </c>
      <c r="L97" s="134">
        <f t="shared" si="21"/>
        <v>-2.3464998044583495E-3</v>
      </c>
      <c r="M97" s="134">
        <f t="shared" si="21"/>
        <v>-3.4952813701502968E-4</v>
      </c>
      <c r="N97" s="134">
        <f t="shared" si="21"/>
        <v>-3.0432136335970786E-4</v>
      </c>
      <c r="O97" s="134">
        <f t="shared" si="21"/>
        <v>7.4784244048842693E-5</v>
      </c>
      <c r="P97" s="134">
        <f t="shared" si="21"/>
        <v>-3.0580047803127656E-5</v>
      </c>
      <c r="Q97" s="134">
        <f t="shared" si="21"/>
        <v>-6.110228522546743E-5</v>
      </c>
      <c r="R97" s="134">
        <f t="shared" si="21"/>
        <v>0</v>
      </c>
      <c r="S97" s="134">
        <f t="shared" si="21"/>
        <v>-1.1216815422131877E-4</v>
      </c>
      <c r="T97" s="134">
        <f t="shared" si="21"/>
        <v>2.5144944187244708E-5</v>
      </c>
      <c r="U97" s="134">
        <f>U33/U89</f>
        <v>-2.3753852445275125E-4</v>
      </c>
      <c r="V97" s="136" t="s">
        <v>37</v>
      </c>
    </row>
    <row r="98" spans="1:28" x14ac:dyDescent="0.2">
      <c r="A98" s="47" t="s">
        <v>49</v>
      </c>
      <c r="B98" s="140">
        <f>SUM('Quarterly Data 2001-2021'!C98:F98)/4</f>
        <v>2.0049999999999998E-2</v>
      </c>
      <c r="C98" s="137">
        <f>SUM('Quarterly Data 2001-2021'!G98:J98)/4</f>
        <v>1.44E-2</v>
      </c>
      <c r="D98" s="137">
        <f>SUM('Quarterly Data 2001-2021'!K98:N98)/4</f>
        <v>7.2250000000000005E-3</v>
      </c>
      <c r="E98" s="137">
        <f>SUM('Quarterly Data 2001-2021'!O98:R98)/4</f>
        <v>4.45E-3</v>
      </c>
      <c r="F98" s="137">
        <f>SUM('Quarterly Data 2001-2021'!S98:V98)/4</f>
        <v>4.45E-3</v>
      </c>
      <c r="G98" s="137">
        <f>SUM('Quarterly Data 2001-2021'!W98:Z98)/4</f>
        <v>8.9999999999999993E-3</v>
      </c>
      <c r="H98" s="137">
        <f>SUM('Quarterly Data 2001-2021'!AA98:AD98)/4</f>
        <v>1.985E-2</v>
      </c>
      <c r="I98" s="137">
        <f>SUM('Quarterly Data 2001-2021'!AE98:AH98)/4</f>
        <v>2.7775000000000001E-2</v>
      </c>
      <c r="J98" s="137">
        <f>SUM('Quarterly Data 2001-2021'!AI98:AL98)/4</f>
        <v>2.7875E-3</v>
      </c>
      <c r="K98" s="137">
        <f>SUM('Quarterly Data 2001-2021'!AM98:AP98)/4</f>
        <v>1.9624999999999998E-3</v>
      </c>
      <c r="L98" s="137">
        <f>SUM('Quarterly Data 2001-2021'!AQ98:AT98)/4</f>
        <v>7.7749999999999989E-3</v>
      </c>
      <c r="M98" s="137">
        <f>SUM('Quarterly Data 2001-2021'!AU98:AX98)/4</f>
        <v>6.043414515127318E-3</v>
      </c>
      <c r="N98" s="137">
        <f>SUM('Quarterly Data 2001-2021'!AY98:BB98)/4</f>
        <v>2.5276834369484368E-3</v>
      </c>
      <c r="O98" s="137">
        <f>SUM('Quarterly Data 2001-2021'!BC98:BF98)/4</f>
        <v>7.8615239419629304E-4</v>
      </c>
      <c r="P98" s="137">
        <f>SUM('Quarterly Data 2001-2021'!BG98:BJ98)/4</f>
        <v>1.1882958497323518E-5</v>
      </c>
      <c r="Q98" s="137">
        <f>SUM('Quarterly Data 2001-2021'!BK98:BN98)/4</f>
        <v>4.8611945240560678E-6</v>
      </c>
      <c r="R98" s="137">
        <f>SUM('Quarterly Data 2001-2021'!BO98:BR98)/4</f>
        <v>-8.1318077336326148E-6</v>
      </c>
      <c r="S98" s="137">
        <f>SUM('Quarterly Data 2001-2021'!BS98:BV98)/4</f>
        <v>-1.2456902432949319E-5</v>
      </c>
      <c r="T98" s="137">
        <f>SUM('Quarterly Data 2001-2021'!BW98:BZ98)/4</f>
        <v>5.7951851417259752E-7</v>
      </c>
      <c r="U98" s="137">
        <f>SUM('Quarterly Data 2001-2021'!CA98:CD98)/4</f>
        <v>-8.9163577853329792E-6</v>
      </c>
      <c r="V98" s="136" t="s">
        <v>37</v>
      </c>
    </row>
    <row r="99" spans="1:28" s="111" customFormat="1" x14ac:dyDescent="0.2">
      <c r="A99" s="112" t="s">
        <v>144</v>
      </c>
      <c r="B99" s="283">
        <f>SUM('Quarterly Data 2001-2021'!C99:F99)/4</f>
        <v>9.8850000000000007E-2</v>
      </c>
      <c r="C99" s="280">
        <f>SUM('Quarterly Data 2001-2021'!G99:J99)/4</f>
        <v>8.8224999999999998E-2</v>
      </c>
      <c r="D99" s="280">
        <f>SUM('Quarterly Data 2001-2021'!K99:N99)/4</f>
        <v>7.2950000000000001E-2</v>
      </c>
      <c r="E99" s="280">
        <f>SUM('Quarterly Data 2001-2021'!O99:R99)/4</f>
        <v>5.6424999999999996E-2</v>
      </c>
      <c r="F99" s="280">
        <f>SUM('Quarterly Data 2001-2021'!S99:V99)/4</f>
        <v>4.8850000000000005E-2</v>
      </c>
      <c r="G99" s="280">
        <f>SUM('Quarterly Data 2001-2021'!W99:Z99)/4</f>
        <v>5.3525000000000003E-2</v>
      </c>
      <c r="H99" s="280">
        <f>SUM('Quarterly Data 2001-2021'!AA99:AD99)/4</f>
        <v>6.2975000000000003E-2</v>
      </c>
      <c r="I99" s="280">
        <f>SUM('Quarterly Data 2001-2021'!AE99:AH99)/4</f>
        <v>6.8174999999999999E-2</v>
      </c>
      <c r="J99" s="280">
        <f>SUM('Quarterly Data 2001-2021'!AI99:AL99)/4</f>
        <v>3.8224999999999995E-2</v>
      </c>
      <c r="K99" s="280">
        <f>SUM('Quarterly Data 2001-2021'!AM99:AP99)/4</f>
        <v>3.4749999999999996E-2</v>
      </c>
      <c r="L99" s="280">
        <f>SUM('Quarterly Data 2001-2021'!AQ99:AT99)/4</f>
        <v>4.847499999999999E-2</v>
      </c>
      <c r="M99" s="280">
        <f>SUM('Quarterly Data 2001-2021'!AU99:AX99)/4</f>
        <v>4.9385626884199327E-2</v>
      </c>
      <c r="N99" s="280">
        <f>SUM('Quarterly Data 2001-2021'!AY99:BB99)/4</f>
        <v>4.0134687759174933E-2</v>
      </c>
      <c r="O99" s="280">
        <f>SUM('Quarterly Data 2001-2021'!BC99:BF99)/4</f>
        <v>3.1623071143336255E-2</v>
      </c>
      <c r="P99" s="280">
        <f>SUM('Quarterly Data 2001-2021'!BG99:BJ99)/4</f>
        <v>2.4803735005342449E-2</v>
      </c>
      <c r="Q99" s="280">
        <f>SUM('Quarterly Data 2001-2021'!BK99:BN99)/4</f>
        <v>2.1694578552590764E-2</v>
      </c>
      <c r="R99" s="280">
        <f>SUM('Quarterly Data 2001-2021'!BO99:BR99)/4</f>
        <v>1.8977553391732488E-2</v>
      </c>
      <c r="S99" s="280">
        <f>SUM('Quarterly Data 2001-2021'!BS99:BV99)/4</f>
        <v>1.7952207243008562E-2</v>
      </c>
      <c r="T99" s="280">
        <f>SUM('Quarterly Data 2001-2021'!BW99:BZ99)/4</f>
        <v>1.6376572681918337E-2</v>
      </c>
      <c r="U99" s="280">
        <f>SUM('Quarterly Data 2001-2021'!CA99:CD99)/4</f>
        <v>1.8328176184378958E-2</v>
      </c>
      <c r="V99" s="117">
        <f>+((U99/B99)^(1/19))-1</f>
        <v>-8.4873380822960809E-2</v>
      </c>
    </row>
    <row r="100" spans="1:28" x14ac:dyDescent="0.2">
      <c r="A100" s="127"/>
      <c r="B100" s="8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119"/>
      <c r="Q100" s="119"/>
      <c r="R100" s="119"/>
      <c r="S100" s="286"/>
      <c r="T100" s="286"/>
      <c r="U100" s="286"/>
      <c r="V100" s="38"/>
    </row>
    <row r="101" spans="1:28" x14ac:dyDescent="0.2">
      <c r="A101" s="304" t="s">
        <v>161</v>
      </c>
      <c r="B101" s="8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119"/>
      <c r="Q101" s="119"/>
      <c r="R101" s="119"/>
      <c r="S101" s="119"/>
      <c r="T101" s="119"/>
      <c r="U101" s="119"/>
      <c r="V101" s="38"/>
    </row>
    <row r="102" spans="1:28" x14ac:dyDescent="0.2">
      <c r="A102" s="11" t="s">
        <v>34</v>
      </c>
      <c r="B102" s="148">
        <f>SUM('Quarterly Data 2001-2021'!C102:F102)</f>
        <v>250</v>
      </c>
      <c r="C102" s="105">
        <f>SUM('Quarterly Data 2001-2021'!G102:J102)</f>
        <v>250</v>
      </c>
      <c r="D102" s="105">
        <f>SUM('Quarterly Data 2001-2021'!K102:N102)</f>
        <v>249</v>
      </c>
      <c r="E102" s="105">
        <f>SUM('Quarterly Data 2001-2021'!O102:R102)</f>
        <v>253</v>
      </c>
      <c r="F102" s="105">
        <f>SUM('Quarterly Data 2001-2021'!S102:V102)</f>
        <v>253</v>
      </c>
      <c r="G102" s="94">
        <f>SUM('Quarterly Data 2001-2021'!W102:Z102)</f>
        <v>250</v>
      </c>
      <c r="H102" s="94">
        <f>SUM('Quarterly Data 2001-2021'!AA102:AD102)</f>
        <v>251</v>
      </c>
      <c r="I102" s="94">
        <f>SUM('Quarterly Data 2001-2021'!AE102:AH102)</f>
        <v>250.5</v>
      </c>
      <c r="J102" s="94">
        <f>SUM('Quarterly Data 2001-2021'!AI102:AL102)</f>
        <v>248.5</v>
      </c>
      <c r="K102" s="94">
        <f>SUM('Quarterly Data 2001-2021'!AM102:AP102)</f>
        <v>250.5</v>
      </c>
      <c r="L102" s="94">
        <f>SUM('Quarterly Data 2001-2021'!AQ102:AT102)</f>
        <v>251</v>
      </c>
      <c r="M102" s="94">
        <f>SUM('Quarterly Data 2001-2021'!AU102:AX102)</f>
        <v>247.5</v>
      </c>
      <c r="N102" s="94">
        <f>SUM('Quarterly Data 2001-2021'!AY102:BB102)</f>
        <v>248</v>
      </c>
      <c r="O102" s="94">
        <f>SUM('Quarterly Data 2001-2021'!BC102:BF102)</f>
        <v>247</v>
      </c>
      <c r="P102" s="94">
        <f>SUM('Quarterly Data 2001-2021'!BG102:BJ102)</f>
        <v>248.5</v>
      </c>
      <c r="Q102" s="94">
        <f>SUM('Quarterly Data 2001-2021'!BK102:BN102)</f>
        <v>251</v>
      </c>
      <c r="R102" s="94">
        <f>SUM('Quarterly Data 2001-2021'!BO102:BR102)</f>
        <v>249</v>
      </c>
      <c r="S102" s="94">
        <f>SUM('Quarterly Data 2001-2021'!BS102:BV102)</f>
        <v>247.5</v>
      </c>
      <c r="T102" s="94">
        <f>SUM('Quarterly Data 2001-2021'!BW102:BZ102)</f>
        <v>248</v>
      </c>
      <c r="U102" s="94">
        <f>SUM('Quarterly Data 2001-2021'!CA102:CD102)</f>
        <v>250</v>
      </c>
      <c r="V102" s="46" t="s">
        <v>37</v>
      </c>
    </row>
    <row r="103" spans="1:28" x14ac:dyDescent="0.2">
      <c r="A103" s="47" t="s">
        <v>46</v>
      </c>
      <c r="B103" s="53">
        <f>SUM('Quarterly Data 2001-2021'!C103:F103)</f>
        <v>670374</v>
      </c>
      <c r="C103" s="49">
        <f>SUM('Quarterly Data 2001-2021'!G103:J103)</f>
        <v>763771</v>
      </c>
      <c r="D103" s="49">
        <f>SUM('Quarterly Data 2001-2021'!K103:N103)</f>
        <v>932761</v>
      </c>
      <c r="E103" s="49">
        <f>SUM('Quarterly Data 2001-2021'!O103:R103)</f>
        <v>1328044</v>
      </c>
      <c r="F103" s="49">
        <f>SUM('Quarterly Data 2001-2021'!S103:V103)</f>
        <v>1826917</v>
      </c>
      <c r="G103" s="49">
        <f>SUM('Quarterly Data 2001-2021'!W103:Z103)</f>
        <v>2874320</v>
      </c>
      <c r="H103" s="49">
        <f>SUM('Quarterly Data 2001-2021'!AA103:AD103)</f>
        <v>3790410</v>
      </c>
      <c r="I103" s="49">
        <f>SUM('Quarterly Data 2001-2021'!AE103:AH103)</f>
        <v>4075261</v>
      </c>
      <c r="J103" s="49">
        <f>SUM('Quarterly Data 2001-2021'!AI103:AL103)</f>
        <v>5905957</v>
      </c>
      <c r="K103" s="49">
        <f>SUM('Quarterly Data 2001-2021'!AM103:AP103)</f>
        <v>7554337</v>
      </c>
      <c r="L103" s="49">
        <f>SUM('Quarterly Data 2001-2021'!AQ103:AT103)</f>
        <v>7649856</v>
      </c>
      <c r="M103" s="49">
        <f>SUM('Quarterly Data 2001-2021'!AU103:AX103)</f>
        <v>6683611</v>
      </c>
      <c r="N103" s="49">
        <f>SUM('Quarterly Data 2001-2021'!AY103:BB103)</f>
        <v>7655629</v>
      </c>
      <c r="O103" s="49">
        <f>SUM('Quarterly Data 2001-2021'!BC103:BF103)</f>
        <v>9686066</v>
      </c>
      <c r="P103" s="49">
        <f>SUM('Quarterly Data 2001-2021'!BG103:BJ103)</f>
        <v>17994055</v>
      </c>
      <c r="Q103" s="49">
        <f>SUM('Quarterly Data 2001-2021'!BK103:BN103)</f>
        <v>24635018</v>
      </c>
      <c r="R103" s="49">
        <f>SUM('Quarterly Data 2001-2021'!BO103:BR103)</f>
        <v>30764581</v>
      </c>
      <c r="S103" s="41">
        <f>SUM('Quarterly Data 2001-2021'!BS103:BV103)</f>
        <v>35875586</v>
      </c>
      <c r="T103" s="41">
        <f>SUM('Quarterly Data 2001-2021'!BW103:BZ103)</f>
        <v>42947331</v>
      </c>
      <c r="U103" s="41">
        <f>SUM('Quarterly Data 2001-2021'!CA103:CD103)</f>
        <v>85546430</v>
      </c>
      <c r="V103" s="46">
        <f>+((U103/B103)^(1/19))-1</f>
        <v>0.29073188425337881</v>
      </c>
    </row>
    <row r="104" spans="1:28" x14ac:dyDescent="0.2">
      <c r="A104" s="142" t="s">
        <v>105</v>
      </c>
      <c r="B104" s="53">
        <f>SUM('Quarterly Data 2001-2021'!C104:F104)</f>
        <v>18287</v>
      </c>
      <c r="C104" s="49">
        <f>SUM('Quarterly Data 2001-2021'!G104:J104)</f>
        <v>22607</v>
      </c>
      <c r="D104" s="49">
        <f>SUM('Quarterly Data 2001-2021'!K104:N104)</f>
        <v>34727</v>
      </c>
      <c r="E104" s="49">
        <f>SUM('Quarterly Data 2001-2021'!O104:R104)</f>
        <v>89427</v>
      </c>
      <c r="F104" s="49">
        <f>SUM('Quarterly Data 2001-2021'!S104:V104)</f>
        <v>264328</v>
      </c>
      <c r="G104" s="49">
        <f>SUM('Quarterly Data 2001-2021'!W104:Z104)</f>
        <v>589036</v>
      </c>
      <c r="H104" s="41">
        <f>SUM('Quarterly Data 2001-2021'!AA104:AD104)</f>
        <v>1018087</v>
      </c>
      <c r="I104" s="41">
        <f>SUM('Quarterly Data 2001-2021'!AE104:AH104)</f>
        <v>1341218</v>
      </c>
      <c r="J104" s="41">
        <f>SUM('Quarterly Data 2001-2021'!AI104:AL104)</f>
        <v>2031959</v>
      </c>
      <c r="K104" s="41">
        <f>SUM('Quarterly Data 2001-2021'!AM104:AP104)</f>
        <v>2941153</v>
      </c>
      <c r="L104" s="41">
        <f>SUM('Quarterly Data 2001-2021'!AQ104:AT104)</f>
        <v>3045096</v>
      </c>
      <c r="M104" s="41">
        <f>SUM('Quarterly Data 2001-2021'!AU104:AX104)</f>
        <v>3035169</v>
      </c>
      <c r="N104" s="41">
        <f>SUM('Quarterly Data 2001-2021'!AY104:BB104)</f>
        <v>3369608</v>
      </c>
      <c r="O104" s="41">
        <f>SUM('Quarterly Data 2001-2021'!BC104:BF104)</f>
        <v>4475978</v>
      </c>
      <c r="P104" s="41">
        <f>SUM('Quarterly Data 2001-2021'!BG104:BJ104)</f>
        <v>6547409</v>
      </c>
      <c r="Q104" s="41">
        <f>SUM('Quarterly Data 2001-2021'!BK104:BN104)</f>
        <v>7836335</v>
      </c>
      <c r="R104" s="41">
        <f>SUM('Quarterly Data 2001-2021'!BO104:BR104)</f>
        <v>11746783</v>
      </c>
      <c r="S104" s="41">
        <f>SUM('Quarterly Data 2001-2021'!BS104:BV104)</f>
        <v>14315849</v>
      </c>
      <c r="T104" s="41">
        <f>SUM('Quarterly Data 2001-2021'!BW104:BZ104)</f>
        <v>18136840</v>
      </c>
      <c r="U104" s="41">
        <f>SUM('Quarterly Data 2001-2021'!CA104:CD104)</f>
        <v>27628609</v>
      </c>
      <c r="V104" s="46">
        <f>+((U104/B104)^(1/19))-1</f>
        <v>0.4700333487136501</v>
      </c>
    </row>
    <row r="105" spans="1:28" x14ac:dyDescent="0.2">
      <c r="A105" s="142" t="s">
        <v>54</v>
      </c>
      <c r="B105" s="53">
        <f>SUM('Quarterly Data 2001-2021'!C105:F105)</f>
        <v>13102</v>
      </c>
      <c r="C105" s="49">
        <f>SUM('Quarterly Data 2001-2021'!G105:J105)</f>
        <v>7367</v>
      </c>
      <c r="D105" s="49">
        <f>SUM('Quarterly Data 2001-2021'!K105:N105)</f>
        <v>9675</v>
      </c>
      <c r="E105" s="49">
        <f>SUM('Quarterly Data 2001-2021'!O105:R105)</f>
        <v>8326</v>
      </c>
      <c r="F105" s="49">
        <f>SUM('Quarterly Data 2001-2021'!S105:V105)</f>
        <v>18653</v>
      </c>
      <c r="G105" s="49">
        <f>SUM('Quarterly Data 2001-2021'!W105:Z105)</f>
        <v>43395</v>
      </c>
      <c r="H105" s="41">
        <f>SUM('Quarterly Data 2001-2021'!AA105:AD105)</f>
        <v>103670</v>
      </c>
      <c r="I105" s="41">
        <f>SUM('Quarterly Data 2001-2021'!AE105:AH105)</f>
        <v>122777</v>
      </c>
      <c r="J105" s="41">
        <f>SUM('Quarterly Data 2001-2021'!AI105:AL105)</f>
        <v>221244</v>
      </c>
      <c r="K105" s="41">
        <f>SUM('Quarterly Data 2001-2021'!AM105:AP105)</f>
        <v>369462</v>
      </c>
      <c r="L105" s="41">
        <f>SUM('Quarterly Data 2001-2021'!AQ105:AT105)</f>
        <v>373921</v>
      </c>
      <c r="M105" s="41">
        <f>SUM('Quarterly Data 2001-2021'!AU105:AX105)</f>
        <v>341549</v>
      </c>
      <c r="N105" s="41">
        <f>SUM('Quarterly Data 2001-2021'!AY105:BB105)</f>
        <v>307281</v>
      </c>
      <c r="O105" s="41">
        <f>SUM('Quarterly Data 2001-2021'!BC105:BF105)</f>
        <v>405070</v>
      </c>
      <c r="P105" s="41">
        <f>SUM('Quarterly Data 2001-2021'!BG105:BJ105)</f>
        <v>616616</v>
      </c>
      <c r="Q105" s="41">
        <f>SUM('Quarterly Data 2001-2021'!BK105:BN105)</f>
        <v>1098234</v>
      </c>
      <c r="R105" s="41">
        <f>SUM('Quarterly Data 2001-2021'!BO105:BR105)</f>
        <v>1446204</v>
      </c>
      <c r="S105" s="41">
        <f>SUM('Quarterly Data 2001-2021'!BS105:BV105)</f>
        <v>2302624</v>
      </c>
      <c r="T105" s="41">
        <f>SUM('Quarterly Data 2001-2021'!BW105:BZ105)</f>
        <v>2424712</v>
      </c>
      <c r="U105" s="41">
        <f>SUM('Quarterly Data 2001-2021'!CA105:CD105)</f>
        <v>7530791</v>
      </c>
      <c r="V105" s="46">
        <f>+((U105/B105)^(1/19))-1</f>
        <v>0.39713058488590769</v>
      </c>
    </row>
    <row r="106" spans="1:28" x14ac:dyDescent="0.2">
      <c r="A106" s="142" t="s">
        <v>124</v>
      </c>
      <c r="B106" s="53"/>
      <c r="C106" s="49"/>
      <c r="D106" s="49"/>
      <c r="E106" s="49"/>
      <c r="F106" s="49"/>
      <c r="G106" s="49"/>
      <c r="H106" s="41"/>
      <c r="I106" s="41"/>
      <c r="J106" s="41"/>
      <c r="K106" s="41"/>
      <c r="L106" s="41"/>
      <c r="M106" s="41"/>
      <c r="N106" s="41"/>
      <c r="O106" s="41"/>
      <c r="P106" s="41">
        <f>SUM('Quarterly Data 2001-2021'!BG106:BJ106)</f>
        <v>893102</v>
      </c>
      <c r="Q106" s="41">
        <f>SUM('Quarterly Data 2001-2021'!BK106:BN106)</f>
        <v>2323789</v>
      </c>
      <c r="R106" s="41">
        <f>SUM('Quarterly Data 2001-2021'!BO106:BR106)</f>
        <v>1966774</v>
      </c>
      <c r="S106" s="41">
        <f>SUM('Quarterly Data 2001-2021'!BS106:BV106)</f>
        <v>2520227</v>
      </c>
      <c r="T106" s="41">
        <f>SUM('Quarterly Data 2001-2021'!BW106:BZ106)</f>
        <v>2924222</v>
      </c>
      <c r="U106" s="41">
        <f>SUM('Quarterly Data 2001-2021'!CA106:CD106)</f>
        <v>5303213</v>
      </c>
      <c r="V106" s="46">
        <f>+((U106/P106)^(1/5))-1</f>
        <v>0.42799800840095448</v>
      </c>
    </row>
    <row r="107" spans="1:28" x14ac:dyDescent="0.2">
      <c r="A107" s="142" t="s">
        <v>118</v>
      </c>
      <c r="B107" s="53"/>
      <c r="C107" s="49"/>
      <c r="D107" s="49"/>
      <c r="E107" s="49"/>
      <c r="F107" s="49"/>
      <c r="G107" s="49"/>
      <c r="H107" s="41"/>
      <c r="I107" s="41"/>
      <c r="J107" s="41"/>
      <c r="K107" s="41"/>
      <c r="L107" s="41"/>
      <c r="M107" s="41"/>
      <c r="N107" s="41"/>
      <c r="O107" s="41"/>
      <c r="P107" s="41"/>
      <c r="Q107" s="41">
        <f>SUM('Quarterly Data 2001-2021'!BK107:BN107)</f>
        <v>757539</v>
      </c>
      <c r="R107" s="41">
        <f>SUM('Quarterly Data 2001-2021'!BO107:BR107)</f>
        <v>1685974</v>
      </c>
      <c r="S107" s="41">
        <f>SUM('Quarterly Data 2001-2021'!BS107:BV107)</f>
        <v>1695186</v>
      </c>
      <c r="T107" s="41">
        <f>SUM('Quarterly Data 2001-2021'!BW107:BZ107)</f>
        <v>1957072</v>
      </c>
      <c r="U107" s="41">
        <f>SUM('Quarterly Data 2001-2021'!CA107:CD107)</f>
        <v>4314403</v>
      </c>
      <c r="V107" s="46">
        <f>+((U107/Q107)^(1/4))-1</f>
        <v>0.54482371658239437</v>
      </c>
    </row>
    <row r="108" spans="1:28" x14ac:dyDescent="0.2">
      <c r="A108" s="47" t="s">
        <v>127</v>
      </c>
      <c r="B108" s="100" t="s">
        <v>53</v>
      </c>
      <c r="C108" s="97" t="s">
        <v>53</v>
      </c>
      <c r="D108" s="97" t="s">
        <v>53</v>
      </c>
      <c r="E108" s="97" t="s">
        <v>53</v>
      </c>
      <c r="F108" s="97" t="s">
        <v>53</v>
      </c>
      <c r="G108" s="97" t="s">
        <v>53</v>
      </c>
      <c r="H108" s="97" t="s">
        <v>53</v>
      </c>
      <c r="I108" s="97" t="s">
        <v>53</v>
      </c>
      <c r="J108" s="97" t="s">
        <v>53</v>
      </c>
      <c r="K108" s="97" t="s">
        <v>53</v>
      </c>
      <c r="L108" s="97" t="s">
        <v>53</v>
      </c>
      <c r="M108" s="97" t="s">
        <v>53</v>
      </c>
      <c r="N108" s="41">
        <f>SUM('Quarterly Data 2001-2021'!AY108:BB108)</f>
        <v>473207.50172364112</v>
      </c>
      <c r="O108" s="41">
        <f>SUM('Quarterly Data 2001-2021'!BC108:BF108)</f>
        <v>587939.18262169091</v>
      </c>
      <c r="P108" s="41">
        <f>SUM('Quarterly Data 2001-2021'!BG108:BJ108)</f>
        <v>790934.3019488022</v>
      </c>
      <c r="Q108" s="41">
        <f>SUM('Quarterly Data 2001-2021'!BK108:BN108)</f>
        <v>746221.69489188946</v>
      </c>
      <c r="R108" s="41">
        <f>SUM('Quarterly Data 2001-2021'!BO108:BR108)</f>
        <v>705371.81732328027</v>
      </c>
      <c r="S108" s="41">
        <f>SUM('Quarterly Data 2001-2021'!BS108:BV108)</f>
        <v>738207.32067073928</v>
      </c>
      <c r="T108" s="41">
        <f>SUM('Quarterly Data 2001-2021'!BW108:BZ108)</f>
        <v>761007.01823082974</v>
      </c>
      <c r="U108" s="41">
        <f>SUM('Quarterly Data 2001-2021'!CA108:CD108)</f>
        <v>1507895.8636664206</v>
      </c>
      <c r="V108" s="46">
        <f>+((U108/N108)^(1/7))-1</f>
        <v>0.18005654624009737</v>
      </c>
    </row>
    <row r="109" spans="1:28" ht="15" x14ac:dyDescent="0.2">
      <c r="A109" s="47" t="s">
        <v>238</v>
      </c>
      <c r="B109" s="100" t="s">
        <v>53</v>
      </c>
      <c r="C109" s="97" t="s">
        <v>53</v>
      </c>
      <c r="D109" s="97" t="s">
        <v>53</v>
      </c>
      <c r="E109" s="97" t="s">
        <v>53</v>
      </c>
      <c r="F109" s="97" t="s">
        <v>53</v>
      </c>
      <c r="G109" s="97" t="s">
        <v>53</v>
      </c>
      <c r="H109" s="97" t="s">
        <v>53</v>
      </c>
      <c r="I109" s="97" t="s">
        <v>53</v>
      </c>
      <c r="J109" s="97" t="s">
        <v>53</v>
      </c>
      <c r="K109" s="97" t="s">
        <v>53</v>
      </c>
      <c r="L109" s="97" t="s">
        <v>53</v>
      </c>
      <c r="M109" s="97" t="s">
        <v>53</v>
      </c>
      <c r="N109" s="41">
        <f>SUM('Quarterly Data 2001-2021'!AY109:BB109)</f>
        <v>311340.62721998594</v>
      </c>
      <c r="O109" s="41">
        <f>SUM('Quarterly Data 2001-2021'!BC109:BF109)</f>
        <v>365264.72676594782</v>
      </c>
      <c r="P109" s="41">
        <f>SUM('Quarterly Data 2001-2021'!BG109:BJ109)</f>
        <v>678541.3294211399</v>
      </c>
      <c r="Q109" s="41">
        <f>SUM('Quarterly Data 2001-2021'!BK109:BN109)</f>
        <v>614984.35639795032</v>
      </c>
      <c r="R109" s="41">
        <f>SUM('Quarterly Data 2001-2021'!BO109:BR109)</f>
        <v>548997.56215518003</v>
      </c>
      <c r="S109" s="41">
        <f>SUM('Quarterly Data 2001-2021'!BS109:BV109)</f>
        <v>532379.21423193975</v>
      </c>
      <c r="T109" s="41">
        <f>SUM('Quarterly Data 2001-2021'!BW109:BZ109)</f>
        <v>557796.00469951984</v>
      </c>
      <c r="U109" s="41">
        <f>SUM('Quarterly Data 2001-2021'!CA109:CD109)</f>
        <v>1148781.70199184</v>
      </c>
      <c r="V109" s="46">
        <f>+((U109/N109)^(1/7))-1</f>
        <v>0.20503661955087393</v>
      </c>
    </row>
    <row r="110" spans="1:28" x14ac:dyDescent="0.2">
      <c r="A110" s="47" t="s">
        <v>224</v>
      </c>
      <c r="B110" s="100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41"/>
      <c r="O110" s="41"/>
      <c r="P110" s="41"/>
      <c r="Q110" s="41">
        <v>32068.869481000002</v>
      </c>
      <c r="R110" s="41">
        <v>36675.152612999998</v>
      </c>
      <c r="S110" s="41">
        <v>48058.387196999996</v>
      </c>
      <c r="T110" s="41">
        <v>45065.290328000003</v>
      </c>
      <c r="U110" s="41">
        <v>143739.07111352001</v>
      </c>
      <c r="V110" s="46" t="s">
        <v>37</v>
      </c>
      <c r="X110" s="476"/>
      <c r="Y110" s="476"/>
      <c r="Z110" s="476"/>
      <c r="AA110" s="476"/>
      <c r="AB110" s="476"/>
    </row>
    <row r="111" spans="1:28" x14ac:dyDescent="0.2">
      <c r="A111" s="47" t="s">
        <v>148</v>
      </c>
      <c r="B111" s="104" t="s">
        <v>53</v>
      </c>
      <c r="C111" s="101" t="s">
        <v>53</v>
      </c>
      <c r="D111" s="101" t="s">
        <v>53</v>
      </c>
      <c r="E111" s="101" t="s">
        <v>53</v>
      </c>
      <c r="F111" s="101" t="s">
        <v>53</v>
      </c>
      <c r="G111" s="101" t="s">
        <v>53</v>
      </c>
      <c r="H111" s="101" t="s">
        <v>53</v>
      </c>
      <c r="I111" s="101" t="s">
        <v>53</v>
      </c>
      <c r="J111" s="101">
        <f t="shared" ref="J111:R111" si="22">+J112*12</f>
        <v>30.096733399820238</v>
      </c>
      <c r="K111" s="101">
        <f t="shared" si="22"/>
        <v>32.703117888029134</v>
      </c>
      <c r="L111" s="101">
        <f t="shared" si="22"/>
        <v>29.115386154461781</v>
      </c>
      <c r="M111" s="101">
        <f t="shared" si="22"/>
        <v>23.218834090567945</v>
      </c>
      <c r="N111" s="101">
        <f t="shared" si="22"/>
        <v>24.503232819705694</v>
      </c>
      <c r="O111" s="101">
        <f t="shared" si="22"/>
        <v>26.991409044641557</v>
      </c>
      <c r="P111" s="101">
        <f t="shared" si="22"/>
        <v>41.434046256556989</v>
      </c>
      <c r="Q111" s="101">
        <f t="shared" si="22"/>
        <v>45.341521864765944</v>
      </c>
      <c r="R111" s="101">
        <f t="shared" si="22"/>
        <v>45.765557170308178</v>
      </c>
      <c r="S111" s="101">
        <f>+S112*12</f>
        <v>43.382085309281678</v>
      </c>
      <c r="T111" s="101">
        <f>+T112*12</f>
        <v>44.688479013652703</v>
      </c>
      <c r="U111" s="101">
        <f>+U112*12</f>
        <v>69.139753947265802</v>
      </c>
      <c r="V111" s="46">
        <f>+((U111/J111)^(1/11))-1</f>
        <v>7.8542177965976068E-2</v>
      </c>
    </row>
    <row r="112" spans="1:28" x14ac:dyDescent="0.2">
      <c r="A112" s="47" t="s">
        <v>149</v>
      </c>
      <c r="B112" s="104" t="s">
        <v>53</v>
      </c>
      <c r="C112" s="101" t="s">
        <v>53</v>
      </c>
      <c r="D112" s="101" t="s">
        <v>53</v>
      </c>
      <c r="E112" s="101" t="s">
        <v>53</v>
      </c>
      <c r="F112" s="101" t="s">
        <v>53</v>
      </c>
      <c r="G112" s="101" t="s">
        <v>53</v>
      </c>
      <c r="H112" s="101" t="s">
        <v>53</v>
      </c>
      <c r="I112" s="101" t="s">
        <v>53</v>
      </c>
      <c r="J112" s="101">
        <f t="shared" ref="J112:T112" si="23">(J103-J105)/((J59+I59)/2*1000)/12</f>
        <v>2.5080611166516866</v>
      </c>
      <c r="K112" s="101">
        <f t="shared" si="23"/>
        <v>2.7252598240024279</v>
      </c>
      <c r="L112" s="101">
        <f t="shared" si="23"/>
        <v>2.4262821795384819</v>
      </c>
      <c r="M112" s="101">
        <f t="shared" si="23"/>
        <v>1.9349028408806621</v>
      </c>
      <c r="N112" s="101">
        <f t="shared" si="23"/>
        <v>2.0419360683088077</v>
      </c>
      <c r="O112" s="101">
        <f t="shared" si="23"/>
        <v>2.2492840870534629</v>
      </c>
      <c r="P112" s="101">
        <f t="shared" si="23"/>
        <v>3.4528371880464159</v>
      </c>
      <c r="Q112" s="101">
        <f t="shared" si="23"/>
        <v>3.7784601553971622</v>
      </c>
      <c r="R112" s="101">
        <f t="shared" si="23"/>
        <v>3.8137964308590147</v>
      </c>
      <c r="S112" s="101">
        <f t="shared" si="23"/>
        <v>3.615173775773473</v>
      </c>
      <c r="T112" s="101">
        <f t="shared" si="23"/>
        <v>3.7240399178043919</v>
      </c>
      <c r="U112" s="101">
        <f>(U103-U105)/((U59+T59)/2*1000)/12</f>
        <v>5.7616461622721502</v>
      </c>
      <c r="V112" s="46">
        <f>+((U112/J112)^(1/11))-1</f>
        <v>7.8542177965976068E-2</v>
      </c>
    </row>
    <row r="113" spans="1:23" x14ac:dyDescent="0.2">
      <c r="A113" s="47" t="s">
        <v>150</v>
      </c>
      <c r="B113" s="143" t="s">
        <v>53</v>
      </c>
      <c r="C113" s="144" t="s">
        <v>53</v>
      </c>
      <c r="D113" s="144" t="s">
        <v>53</v>
      </c>
      <c r="E113" s="144" t="s">
        <v>53</v>
      </c>
      <c r="F113" s="144" t="s">
        <v>53</v>
      </c>
      <c r="G113" s="144" t="s">
        <v>53</v>
      </c>
      <c r="H113" s="144" t="s">
        <v>53</v>
      </c>
      <c r="I113" s="144" t="s">
        <v>53</v>
      </c>
      <c r="J113" s="144">
        <f t="shared" ref="J113:R113" si="24">+J112/(J102/12)</f>
        <v>0.12111361529102713</v>
      </c>
      <c r="K113" s="144">
        <f t="shared" si="24"/>
        <v>0.13055136881448756</v>
      </c>
      <c r="L113" s="144">
        <f t="shared" si="24"/>
        <v>0.11599755440024614</v>
      </c>
      <c r="M113" s="144">
        <f t="shared" si="24"/>
        <v>9.3813471073001795E-2</v>
      </c>
      <c r="N113" s="144">
        <f t="shared" si="24"/>
        <v>9.8803358143974562E-2</v>
      </c>
      <c r="O113" s="144">
        <f t="shared" si="24"/>
        <v>0.10927695969490508</v>
      </c>
      <c r="P113" s="144">
        <f t="shared" si="24"/>
        <v>0.16673660465415288</v>
      </c>
      <c r="Q113" s="144">
        <f t="shared" si="24"/>
        <v>0.18064351340544202</v>
      </c>
      <c r="R113" s="144">
        <f t="shared" si="24"/>
        <v>0.1837974183546513</v>
      </c>
      <c r="S113" s="144">
        <f>+S112/(S102/12)</f>
        <v>0.17528115276477446</v>
      </c>
      <c r="T113" s="144">
        <f>+T112/(T102/12)</f>
        <v>0.18019547989376089</v>
      </c>
      <c r="U113" s="144">
        <f>+U112/(U102/12)</f>
        <v>0.27655901578906322</v>
      </c>
      <c r="V113" s="46">
        <f>+((U113/J113)^(1/11))-1</f>
        <v>7.7952271636718251E-2</v>
      </c>
    </row>
    <row r="114" spans="1:23" x14ac:dyDescent="0.2">
      <c r="A114" s="47" t="s">
        <v>237</v>
      </c>
      <c r="B114" s="100" t="s">
        <v>53</v>
      </c>
      <c r="C114" s="97" t="s">
        <v>53</v>
      </c>
      <c r="D114" s="97" t="s">
        <v>53</v>
      </c>
      <c r="E114" s="97" t="s">
        <v>53</v>
      </c>
      <c r="F114" s="97" t="s">
        <v>53</v>
      </c>
      <c r="G114" s="97" t="s">
        <v>53</v>
      </c>
      <c r="H114" s="97" t="s">
        <v>53</v>
      </c>
      <c r="I114" s="97" t="s">
        <v>53</v>
      </c>
      <c r="J114" s="97" t="s">
        <v>53</v>
      </c>
      <c r="K114" s="97" t="s">
        <v>53</v>
      </c>
      <c r="L114" s="97" t="s">
        <v>53</v>
      </c>
      <c r="M114" s="97" t="s">
        <v>53</v>
      </c>
      <c r="N114" s="145">
        <f t="shared" ref="N114:U114" si="25">+N9/N109</f>
        <v>9.3145569400774947E-4</v>
      </c>
      <c r="O114" s="145">
        <f t="shared" si="25"/>
        <v>9.1029868376274231E-4</v>
      </c>
      <c r="P114" s="145">
        <f t="shared" si="25"/>
        <v>8.1085701952653762E-4</v>
      </c>
      <c r="Q114" s="145">
        <f t="shared" si="25"/>
        <v>8.826240771054011E-4</v>
      </c>
      <c r="R114" s="145">
        <f t="shared" si="25"/>
        <v>9.6193505473295149E-4</v>
      </c>
      <c r="S114" s="145">
        <f t="shared" si="25"/>
        <v>9.7740847929367151E-4</v>
      </c>
      <c r="T114" s="145">
        <f t="shared" si="25"/>
        <v>9.9714454215142764E-4</v>
      </c>
      <c r="U114" s="145">
        <f t="shared" si="25"/>
        <v>1.1069371932153468E-3</v>
      </c>
      <c r="V114" s="46">
        <f>+((U114/N114)^(1/7))-1</f>
        <v>2.4964166942951893E-2</v>
      </c>
    </row>
    <row r="115" spans="1:23" ht="15" x14ac:dyDescent="0.2">
      <c r="A115" s="47" t="s">
        <v>232</v>
      </c>
      <c r="B115" s="53">
        <f t="shared" ref="B115:O115" si="26">B9*1000000/(B103-B104-B105)</f>
        <v>97.028881742137926</v>
      </c>
      <c r="C115" s="49">
        <f t="shared" si="26"/>
        <v>108.74942252421312</v>
      </c>
      <c r="D115" s="49">
        <f t="shared" si="26"/>
        <v>113.6927751055598</v>
      </c>
      <c r="E115" s="49">
        <f t="shared" si="26"/>
        <v>114.52575041189442</v>
      </c>
      <c r="F115" s="49">
        <f t="shared" si="26"/>
        <v>115.09544437075112</v>
      </c>
      <c r="G115" s="49">
        <f t="shared" si="26"/>
        <v>124.67164966686576</v>
      </c>
      <c r="H115" s="49">
        <f t="shared" si="26"/>
        <v>113.85968876433169</v>
      </c>
      <c r="I115" s="49">
        <f t="shared" si="26"/>
        <v>105.69585787123947</v>
      </c>
      <c r="J115" s="49">
        <f t="shared" si="26"/>
        <v>93.816610699762421</v>
      </c>
      <c r="K115" s="49">
        <f t="shared" si="26"/>
        <v>87.682463648655585</v>
      </c>
      <c r="L115" s="49">
        <f t="shared" si="26"/>
        <v>83.127720057416511</v>
      </c>
      <c r="M115" s="49">
        <f t="shared" si="26"/>
        <v>78.018853346630806</v>
      </c>
      <c r="N115" s="49">
        <f t="shared" si="26"/>
        <v>72.887396512463738</v>
      </c>
      <c r="O115" s="49">
        <f t="shared" si="26"/>
        <v>69.198492076408456</v>
      </c>
      <c r="P115" s="49">
        <f>P9*1000000/((P103-893102)-P104-P105)</f>
        <v>55.36922477449771</v>
      </c>
      <c r="Q115" s="49">
        <f>Q9*1000000/((Q103-2323789)-Q104-Q105)</f>
        <v>40.578141329748981</v>
      </c>
      <c r="R115" s="49">
        <f>R9*1000000/((R103-R106)-R104-R105)</f>
        <v>33.842107759012919</v>
      </c>
      <c r="S115" s="49">
        <f>S9*1000000/((S103-S106)-S104-S105)</f>
        <v>31.09012980013128</v>
      </c>
      <c r="T115" s="49">
        <f>T9*1000000/((T103-T106)-T104-T105)</f>
        <v>28.579585986876506</v>
      </c>
      <c r="U115" s="49">
        <f>U9*1000000/((U103-U106)-U104-U105)</f>
        <v>28.205890215994717</v>
      </c>
      <c r="V115" s="46">
        <f>+((U115/B115)^(1/19))-1</f>
        <v>-6.2956103822634835E-2</v>
      </c>
    </row>
    <row r="116" spans="1:23" ht="15" x14ac:dyDescent="0.2">
      <c r="A116" s="47" t="s">
        <v>233</v>
      </c>
      <c r="B116" s="53">
        <f t="shared" ref="B116:O116" si="27">B11*1000000/(B103-B104-B105)</f>
        <v>81.06606571359265</v>
      </c>
      <c r="C116" s="49">
        <f t="shared" si="27"/>
        <v>95.121675340727762</v>
      </c>
      <c r="D116" s="49">
        <f t="shared" si="27"/>
        <v>100.18472261777052</v>
      </c>
      <c r="E116" s="49">
        <f t="shared" si="27"/>
        <v>100.05762864232935</v>
      </c>
      <c r="F116" s="49">
        <f t="shared" si="27"/>
        <v>99.874606201293318</v>
      </c>
      <c r="G116" s="49">
        <f t="shared" si="27"/>
        <v>106.91876359623514</v>
      </c>
      <c r="H116" s="49">
        <f t="shared" si="27"/>
        <v>95.784277686158532</v>
      </c>
      <c r="I116" s="49">
        <f t="shared" si="27"/>
        <v>87.823301034823714</v>
      </c>
      <c r="J116" s="49">
        <f t="shared" si="27"/>
        <v>82.09394883969739</v>
      </c>
      <c r="K116" s="49">
        <f t="shared" si="27"/>
        <v>77.502720489230924</v>
      </c>
      <c r="L116" s="49">
        <f t="shared" si="27"/>
        <v>72.113356239743453</v>
      </c>
      <c r="M116" s="49">
        <f t="shared" si="27"/>
        <v>65.318109778574637</v>
      </c>
      <c r="N116" s="49">
        <f t="shared" si="27"/>
        <v>61.577283260529718</v>
      </c>
      <c r="O116" s="49">
        <f t="shared" si="27"/>
        <v>59.45867424430044</v>
      </c>
      <c r="P116" s="49">
        <f>P11*1000000/((P103-893102)-P104-P105)</f>
        <v>48.244286362948394</v>
      </c>
      <c r="Q116" s="49">
        <f>Q11*1000000/((Q103-2323789)-Q104-Q105)</f>
        <v>35.090971886853666</v>
      </c>
      <c r="R116" s="49">
        <f>R11*1000000/((R103-R106)-R104-R105)</f>
        <v>28.79879421870935</v>
      </c>
      <c r="S116" s="49">
        <f>S11*1000000/((S103-S106)-S104-S105)</f>
        <v>26.005568239516002</v>
      </c>
      <c r="T116" s="49">
        <f>T11*1000000/((T103-T106)-T104-T105)</f>
        <v>23.9383779242328</v>
      </c>
      <c r="U116" s="49">
        <f>U11*1000000/((U103-U106)-U104-U105)</f>
        <v>24.444327490505</v>
      </c>
      <c r="V116" s="46">
        <f>+((U116/B116)^(1/19))-1</f>
        <v>-6.1148748950687337E-2</v>
      </c>
    </row>
    <row r="117" spans="1:23" x14ac:dyDescent="0.2">
      <c r="A117" s="112" t="s">
        <v>136</v>
      </c>
      <c r="B117" s="315">
        <f t="shared" ref="B117:U117" si="28">+B11/(B102)</f>
        <v>0.2072</v>
      </c>
      <c r="C117" s="316">
        <f t="shared" si="28"/>
        <v>0.27920000000000006</v>
      </c>
      <c r="D117" s="316">
        <f t="shared" si="28"/>
        <v>0.35742971887550201</v>
      </c>
      <c r="E117" s="316">
        <f t="shared" si="28"/>
        <v>0.48656126482213441</v>
      </c>
      <c r="F117" s="316">
        <f t="shared" si="28"/>
        <v>0.60948616600790506</v>
      </c>
      <c r="G117" s="316">
        <f t="shared" si="28"/>
        <v>0.95879999999999999</v>
      </c>
      <c r="H117" s="316">
        <f t="shared" si="28"/>
        <v>1.018386454183267</v>
      </c>
      <c r="I117" s="316">
        <f t="shared" si="28"/>
        <v>0.91548902195608772</v>
      </c>
      <c r="J117" s="316">
        <f t="shared" si="28"/>
        <v>1.2067162977867205</v>
      </c>
      <c r="K117" s="316">
        <f t="shared" si="28"/>
        <v>1.3129740518962076</v>
      </c>
      <c r="L117" s="316">
        <f t="shared" si="28"/>
        <v>1.2155378486055775</v>
      </c>
      <c r="M117" s="316">
        <f t="shared" si="28"/>
        <v>0.87272727272727268</v>
      </c>
      <c r="N117" s="316">
        <f t="shared" si="28"/>
        <v>0.98790322580645162</v>
      </c>
      <c r="O117" s="316">
        <f t="shared" si="28"/>
        <v>1.1566801619433198</v>
      </c>
      <c r="P117" s="316">
        <f t="shared" si="28"/>
        <v>1.929175050301811</v>
      </c>
      <c r="Q117" s="316">
        <f t="shared" si="28"/>
        <v>1.8701195219123505</v>
      </c>
      <c r="R117" s="316">
        <f t="shared" si="28"/>
        <v>1.8048192771084339</v>
      </c>
      <c r="S117" s="316">
        <f t="shared" si="28"/>
        <v>1.7585948726868685</v>
      </c>
      <c r="T117" s="316">
        <f t="shared" si="28"/>
        <v>1.878540751854832</v>
      </c>
      <c r="U117" s="316">
        <f t="shared" si="28"/>
        <v>4.4081743490799861</v>
      </c>
      <c r="V117" s="117">
        <f>+((U117/B117)^(1/19))-1</f>
        <v>0.17459417489623741</v>
      </c>
    </row>
    <row r="118" spans="1:23" x14ac:dyDescent="0.2">
      <c r="A118" s="11"/>
      <c r="B118" s="8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119"/>
      <c r="Q118" s="119"/>
      <c r="R118" s="119"/>
      <c r="S118" s="119"/>
      <c r="T118" s="119"/>
      <c r="U118" s="119"/>
      <c r="V118" s="38"/>
      <c r="W118" s="320"/>
    </row>
    <row r="119" spans="1:23" x14ac:dyDescent="0.2">
      <c r="A119" s="304" t="s">
        <v>176</v>
      </c>
      <c r="B119" s="8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119"/>
      <c r="Q119" s="119"/>
      <c r="R119" s="119"/>
      <c r="S119" s="119"/>
      <c r="T119" s="119"/>
      <c r="U119" s="119"/>
      <c r="V119" s="38"/>
    </row>
    <row r="120" spans="1:23" x14ac:dyDescent="0.2">
      <c r="A120" s="39" t="s">
        <v>121</v>
      </c>
      <c r="B120" s="152">
        <f>+B23/(('Quarterly Data 2001-2021'!$B$78+'Quarterly Data 2001-2021'!$C$78+'Quarterly Data 2001-2021'!$D$78+'Quarterly Data 2001-2021'!$E$78+'Quarterly Data 2001-2021'!$F$78)/5)</f>
        <v>1.3094820853467713E-2</v>
      </c>
      <c r="C120" s="149">
        <f>+C23/(('Quarterly Data 2001-2021'!$F$78+'Quarterly Data 2001-2021'!$G$78+'Quarterly Data 2001-2021'!$H$78+'Quarterly Data 2001-2021'!$I$78+'Quarterly Data 2001-2021'!$J$78)/5)</f>
        <v>1.6790932348703567E-2</v>
      </c>
      <c r="D120" s="149">
        <f>+D23/(('Quarterly Data 2001-2021'!$J$78+'Quarterly Data 2001-2021'!$K$78+'Quarterly Data 2001-2021'!$L$78+'Quarterly Data 2001-2021'!$M$78+'Quarterly Data 2001-2021'!$N$78)/5)</f>
        <v>1.7715056056255271E-2</v>
      </c>
      <c r="E120" s="149">
        <f>+E23/(('Quarterly Data 2001-2021'!$N$78+'Quarterly Data 2001-2021'!$O$78+'Quarterly Data 2001-2021'!$P$78+'Quarterly Data 2001-2021'!$Q$78+'Quarterly Data 2001-2021'!$R$78)/5)</f>
        <v>1.4180896045332153E-2</v>
      </c>
      <c r="F120" s="149">
        <f>+F23/(('Quarterly Data 2001-2021'!$R$78+'Quarterly Data 2001-2021'!$S$78+'Quarterly Data 2001-2021'!$T$78+'Quarterly Data 2001-2021'!$U$78+'Quarterly Data 2001-2021'!$V$78)/5)</f>
        <v>1.1844493608611872E-2</v>
      </c>
      <c r="G120" s="149">
        <f>+G23/(('Quarterly Data 2001-2021'!$V$78+'Quarterly Data 2001-2021'!$W$78+'Quarterly Data 2001-2021'!$X$78+'Quarterly Data 2001-2021'!$Y$78+'Quarterly Data 2001-2021'!$Z$78)/5)</f>
        <v>1.1783831973515953E-2</v>
      </c>
      <c r="H120" s="149">
        <f>H23/(('Quarterly Data 2001-2021'!$Z$78+'Quarterly Data 2001-2021'!$AA$78+'Quarterly Data 2001-2021'!$AB$78+'Quarterly Data 2001-2021'!$AC$78+'Quarterly Data 2001-2021'!$AD$78)/5)</f>
        <v>1.1264586861514362E-2</v>
      </c>
      <c r="I120" s="149">
        <f>I23/(('Quarterly Data 2001-2021'!$AD$78+'Quarterly Data 2001-2021'!$AE$78+'Quarterly Data 2001-2021'!$AF$78+'Quarterly Data 2001-2021'!$AG$78+'Quarterly Data 2001-2021'!$AH$78)/5)</f>
        <v>1.1630630810872834E-2</v>
      </c>
      <c r="J120" s="149">
        <f>J23/(('Quarterly Data 2001-2021'!$AH$78+'Quarterly Data 2001-2021'!$AI$78+'Quarterly Data 2001-2021'!$AJ$78+'Quarterly Data 2001-2021'!$AK$78+'Quarterly Data 2001-2021'!$AL$78)/5)</f>
        <v>1.0328536019733572E-2</v>
      </c>
      <c r="K120" s="149">
        <f>K23/(('Quarterly Data 2001-2021'!$AL$78+'Quarterly Data 2001-2021'!$AM$78+'Quarterly Data 2001-2021'!$AN$78+'Quarterly Data 2001-2021'!$AO$78+'Quarterly Data 2001-2021'!$AP$78)/5)</f>
        <v>8.15241809784659E-3</v>
      </c>
      <c r="L120" s="149">
        <f>L23/(('Quarterly Data 2001-2021'!$AP$78+'Quarterly Data 2001-2021'!$AQ$78+'Quarterly Data 2001-2021'!$AR$78+'Quarterly Data 2001-2021'!$AS$78+'Quarterly Data 2001-2021'!$AT$78)/5)</f>
        <v>8.2355675795091326E-3</v>
      </c>
      <c r="M120" s="149">
        <f>M23/(('Quarterly Data 2001-2021'!$AT$78+'Quarterly Data 2001-2021'!$AU$78+'Quarterly Data 2001-2021'!$AV$78+'Quarterly Data 2001-2021'!$AW$78+'Quarterly Data 2001-2021'!$AX$78)/5)</f>
        <v>6.6120352119006685E-3</v>
      </c>
      <c r="N120" s="149">
        <f>N23/(('Quarterly Data 2001-2021'!$AX$78+'Quarterly Data 2001-2021'!$AY$78+'Quarterly Data 2001-2021'!$AZ$78+'Quarterly Data 2001-2021'!$BA$78+'Quarterly Data 2001-2021'!$BB$78)/5)</f>
        <v>5.7263296746892355E-3</v>
      </c>
      <c r="O120" s="149">
        <f>O23/(('Quarterly Data 2001-2021'!$BB$78+'Quarterly Data 2001-2021'!$BC$78+'Quarterly Data 2001-2021'!$BD$78+'Quarterly Data 2001-2021'!$BE$78+'Quarterly Data 2001-2021'!$BF$78)/5)</f>
        <v>5.1212013763384879E-3</v>
      </c>
      <c r="P120" s="149">
        <f>P23/(('Quarterly Data 2001-2021'!$BF$78+'Quarterly Data 2001-2021'!$BG$78+'Quarterly Data 2001-2021'!$BH$78+'Quarterly Data 2001-2021'!$BI$78+'Quarterly Data 2001-2021'!$BJ$78)/5)</f>
        <v>5.1372223369273865E-3</v>
      </c>
      <c r="Q120" s="149">
        <f>(Q23)/(('Quarterly Data 2001-2021'!$BJ$78+'Quarterly Data 2001-2021'!$BK$78+'Quarterly Data 2001-2021'!$BL$78+'Quarterly Data 2001-2021'!$BM$78+'Quarterly Data 2001-2021'!$BN$78)/5)</f>
        <v>4.2487813030751363E-3</v>
      </c>
      <c r="R120" s="149">
        <f>(R23)/(('Quarterly Data 2001-2021'!$BN$78+'Quarterly Data 2001-2021'!$BO$78+'Quarterly Data 2001-2021'!$BP$78+'Quarterly Data 2001-2021'!$BQ$78+'Quarterly Data 2001-2021'!$BR$78)/5)</f>
        <v>3.6715498850219096E-3</v>
      </c>
      <c r="S120" s="149">
        <f>(S23)/(('Quarterly Data 2001-2021'!$BR$78+'Quarterly Data 2001-2021'!$BS$78+'Quarterly Data 2001-2021'!$BT$78+'Quarterly Data 2001-2021'!$BU$78+'Quarterly Data 2001-2021'!$BV$78)/5)</f>
        <v>3.4740584567862286E-3</v>
      </c>
      <c r="T120" s="149">
        <f>(T23)/(('Quarterly Data 2001-2021'!$BV$78+'Quarterly Data 2001-2021'!$BW$78+'Quarterly Data 2001-2021'!$BX$78+'Quarterly Data 2001-2021'!$BY$78+'Quarterly Data 2001-2021'!$BZ$78)/5)</f>
        <v>3.3528843366298303E-3</v>
      </c>
      <c r="U120" s="149">
        <f>(U23)/(('Quarterly Data 2001-2021'!$BZ$78+'Quarterly Data 2001-2021'!$CA$78+'Quarterly Data 2001-2021'!$CB$78+'Quarterly Data 2001-2021'!$CC$78+'Quarterly Data 2001-2021'!$CD$78)/5)</f>
        <v>5.0946060652526347E-3</v>
      </c>
      <c r="V120" s="46">
        <f>+((U120/B120)^(1/19))-1</f>
        <v>-4.8471865175714668E-2</v>
      </c>
    </row>
    <row r="121" spans="1:23" x14ac:dyDescent="0.2">
      <c r="A121" s="112" t="s">
        <v>106</v>
      </c>
      <c r="B121" s="161">
        <f>-B29/(('Quarterly Data 2001-2021'!$B$78+'Quarterly Data 2001-2021'!$C$78+'Quarterly Data 2001-2021'!$D$78+'Quarterly Data 2001-2021'!$E$78+'Quarterly Data 2001-2021'!$F$78)/5)</f>
        <v>1.1798764754096098E-2</v>
      </c>
      <c r="C121" s="158">
        <f>-C29/(('Quarterly Data 2001-2021'!$F$78+'Quarterly Data 2001-2021'!$G$78+'Quarterly Data 2001-2021'!$H$78+'Quarterly Data 2001-2021'!$I$78+'Quarterly Data 2001-2021'!$J$78)/5)</f>
        <v>1.3096379403853421E-2</v>
      </c>
      <c r="D121" s="158">
        <f>-D29/(('Quarterly Data 2001-2021'!$J$78+'Quarterly Data 2001-2021'!$K$78+'Quarterly Data 2001-2021'!$L$78+'Quarterly Data 2001-2021'!$M$78+'Quarterly Data 2001-2021'!$N$78)/5)</f>
        <v>1.0740601218737857E-2</v>
      </c>
      <c r="E121" s="158">
        <f>-E29/(('Quarterly Data 2001-2021'!$N$78+'Quarterly Data 2001-2021'!$O$78+'Quarterly Data 2001-2021'!$P$78+'Quarterly Data 2001-2021'!$Q$78+'Quarterly Data 2001-2021'!$R$78)/5)</f>
        <v>7.345252127648071E-3</v>
      </c>
      <c r="F121" s="158">
        <f>-F29/(('Quarterly Data 2001-2021'!$R$78+'Quarterly Data 2001-2021'!$S$78+'Quarterly Data 2001-2021'!$T$78+'Quarterly Data 2001-2021'!$U$78+'Quarterly Data 2001-2021'!$V$78)/5)</f>
        <v>5.7264200465177214E-3</v>
      </c>
      <c r="G121" s="158">
        <f>-G29/(('Quarterly Data 2001-2021'!$V$78+'Quarterly Data 2001-2021'!$W$78+'Quarterly Data 2001-2021'!$X$78+'Quarterly Data 2001-2021'!$Y$78+'Quarterly Data 2001-2021'!$Z$78)/5)</f>
        <v>5.43795105698326E-3</v>
      </c>
      <c r="H121" s="158">
        <f>-H29/(('Quarterly Data 2001-2021'!$Z$78+'Quarterly Data 2001-2021'!$AA$78+'Quarterly Data 2001-2021'!$AB$78+'Quarterly Data 2001-2021'!$AC$78+'Quarterly Data 2001-2021'!$AD$78)/5)</f>
        <v>5.0103193005384518E-3</v>
      </c>
      <c r="I121" s="158">
        <f>-I29/(('Quarterly Data 2001-2021'!$AD$78+'Quarterly Data 2001-2021'!$AE$78+'Quarterly Data 2001-2021'!$AF$78+'Quarterly Data 2001-2021'!$AG$78+'Quarterly Data 2001-2021'!$AH$78)/5)</f>
        <v>6.1268620139150838E-3</v>
      </c>
      <c r="J121" s="158">
        <f>-J29/(('Quarterly Data 2001-2021'!$AH$78+'Quarterly Data 2001-2021'!$AI$78+'Quarterly Data 2001-2021'!$AJ$78+'Quarterly Data 2001-2021'!$AK$78+'Quarterly Data 2001-2021'!$AL$78)/5)</f>
        <v>4.6455103075714582E-3</v>
      </c>
      <c r="K121" s="158">
        <f>-K29/(('Quarterly Data 2001-2021'!$AL$78+'Quarterly Data 2001-2021'!$AM$78+'Quarterly Data 2001-2021'!$AN$78+'Quarterly Data 2001-2021'!$AO$78+'Quarterly Data 2001-2021'!$AP$78)/5)</f>
        <v>3.7531041317431179E-3</v>
      </c>
      <c r="L121" s="158">
        <f>-L29/(('Quarterly Data 2001-2021'!$AP$78+'Quarterly Data 2001-2021'!$AQ$78+'Quarterly Data 2001-2021'!$AR$78+'Quarterly Data 2001-2021'!$AS$78+'Quarterly Data 2001-2021'!$AT$78)/5)</f>
        <v>4.0557974885382462E-3</v>
      </c>
      <c r="M121" s="158">
        <f>-M29/(('Quarterly Data 2001-2021'!$AT$78+'Quarterly Data 2001-2021'!$AU$78+'Quarterly Data 2001-2021'!$AV$78+'Quarterly Data 2001-2021'!$AW$78+'Quarterly Data 2001-2021'!$AX$78)/5)</f>
        <v>4.1912909638638094E-3</v>
      </c>
      <c r="N121" s="158">
        <f>-N29/(('Quarterly Data 2001-2021'!$AX$78+'Quarterly Data 2001-2021'!$AY$78+'Quarterly Data 2001-2021'!$AZ$78+'Quarterly Data 2001-2021'!$BA$78+'Quarterly Data 2001-2021'!$BB$78)/5)</f>
        <v>3.4830476025058525E-3</v>
      </c>
      <c r="O121" s="158">
        <f>-O29/(('Quarterly Data 2001-2021'!$BB$78+'Quarterly Data 2001-2021'!$BC$78+'Quarterly Data 2001-2021'!$BD$78+'Quarterly Data 2001-2021'!$BE$78+'Quarterly Data 2001-2021'!$BF$78)/5)</f>
        <v>2.8909264628455937E-3</v>
      </c>
      <c r="P121" s="158">
        <f>-P29/(('Quarterly Data 2001-2021'!$BF$78+'Quarterly Data 2001-2021'!$BG$78+'Quarterly Data 2001-2021'!$BH$78+'Quarterly Data 2001-2021'!$BI$78+'Quarterly Data 2001-2021'!$BJ$78)/5)</f>
        <v>2.3568922804040409E-3</v>
      </c>
      <c r="Q121" s="149">
        <f>(-Q29)/(('Quarterly Data 2001-2021'!$BJ$78+'Quarterly Data 2001-2021'!$BK$78+'Quarterly Data 2001-2021'!$BL$78+'Quarterly Data 2001-2021'!$BM$78+'Quarterly Data 2001-2021'!$BN$78)/5)</f>
        <v>2.0724850027766897E-3</v>
      </c>
      <c r="R121" s="149">
        <f>(-R29)/(('Quarterly Data 2001-2021'!$BN$78+'Quarterly Data 2001-2021'!$BO$78+'Quarterly Data 2001-2021'!$BP$78+'Quarterly Data 2001-2021'!$BQ$78+'Quarterly Data 2001-2021'!$BR$78)/5)</f>
        <v>2.0128661374762989E-3</v>
      </c>
      <c r="S121" s="149">
        <f>(-S29-35)/(('Quarterly Data 2001-2021'!$BR$78+'Quarterly Data 2001-2021'!$BS$78+'Quarterly Data 2001-2021'!$BT$78+'Quarterly Data 2001-2021'!$BU$78+'Quarterly Data 2001-2021'!$BV$78)/5)</f>
        <v>1.9681980747955448E-3</v>
      </c>
      <c r="T121" s="149">
        <f>-T29/(('Quarterly Data 2001-2021'!$BV$78+'Quarterly Data 2001-2021'!$BW$78+'Quarterly Data 2001-2021'!$BX$78+'Quarterly Data 2001-2021'!$BY$78+'Quarterly Data 2001-2021'!$BZ$78)/5)</f>
        <v>1.8697211701452351E-3</v>
      </c>
      <c r="U121" s="149">
        <f>-U29/(('Quarterly Data 2001-2021'!$BZ$78+'Quarterly Data 2001-2021'!$CA$78+'Quarterly Data 2001-2021'!$CB$78+'Quarterly Data 2001-2021'!$CC$78+'Quarterly Data 2001-2021'!$CD$78)/5)</f>
        <v>1.6540962106150222E-3</v>
      </c>
      <c r="V121" s="46">
        <f>+((U121/B121)^(1/19))-1</f>
        <v>-9.8240453549625628E-2</v>
      </c>
    </row>
    <row r="122" spans="1:23" x14ac:dyDescent="0.2">
      <c r="A122" s="112" t="s">
        <v>107</v>
      </c>
      <c r="B122" s="161">
        <f>+B35/(('Quarterly Data 2001-2021'!$B$78+'Quarterly Data 2001-2021'!$C$78+'Quarterly Data 2001-2021'!$D$78+'Quarterly Data 2001-2021'!$E$78+'Quarterly Data 2001-2021'!$F$78)/5)</f>
        <v>1.296056099371615E-3</v>
      </c>
      <c r="C122" s="158">
        <f>+C35/(('Quarterly Data 2001-2021'!$F$78+'Quarterly Data 2001-2021'!$G$78+'Quarterly Data 2001-2021'!$H$78+'Quarterly Data 2001-2021'!$I$78+'Quarterly Data 2001-2021'!$J$78)/5)</f>
        <v>3.6808572414662125E-3</v>
      </c>
      <c r="D122" s="158">
        <f>+D35/(('Quarterly Data 2001-2021'!$J$78+'Quarterly Data 2001-2021'!$K$78+'Quarterly Data 2001-2021'!$L$78+'Quarterly Data 2001-2021'!$M$78+'Quarterly Data 2001-2021'!$N$78)/5)</f>
        <v>6.9744548375174137E-3</v>
      </c>
      <c r="E122" s="158">
        <f>+E35/(('Quarterly Data 2001-2021'!$N$78+'Quarterly Data 2001-2021'!$O$78+'Quarterly Data 2001-2021'!$P$78+'Quarterly Data 2001-2021'!$Q$78+'Quarterly Data 2001-2021'!$R$78)/5)</f>
        <v>6.8356439176840821E-3</v>
      </c>
      <c r="F122" s="158">
        <f>+F35/(('Quarterly Data 2001-2021'!$R$78+'Quarterly Data 2001-2021'!$S$78+'Quarterly Data 2001-2021'!$T$78+'Quarterly Data 2001-2021'!$U$78+'Quarterly Data 2001-2021'!$V$78)/5)</f>
        <v>6.1222463035769583E-3</v>
      </c>
      <c r="G122" s="158">
        <f>+G35/(('Quarterly Data 2001-2021'!$V$78+'Quarterly Data 2001-2021'!$W$78+'Quarterly Data 2001-2021'!$X$78+'Quarterly Data 2001-2021'!$Y$78+'Quarterly Data 2001-2021'!$Z$78)/5)</f>
        <v>6.3458809165326934E-3</v>
      </c>
      <c r="H122" s="158">
        <f>H35/(('Quarterly Data 2001-2021'!$Z$78+'Quarterly Data 2001-2021'!$AA$78+'Quarterly Data 2001-2021'!$AB$78+'Quarterly Data 2001-2021'!$AC$78+'Quarterly Data 2001-2021'!$AD$78)/5)</f>
        <v>6.2248096196024965E-3</v>
      </c>
      <c r="I122" s="158">
        <f>I35/(('Quarterly Data 2001-2021'!$AD$78+'Quarterly Data 2001-2021'!$AE$78+'Quarterly Data 2001-2021'!$AF$78+'Quarterly Data 2001-2021'!$AG$78+'Quarterly Data 2001-2021'!$AH$78)/5)</f>
        <v>5.5037687969577498E-3</v>
      </c>
      <c r="J122" s="158">
        <f>J35/(('Quarterly Data 2001-2021'!$AH$78+'Quarterly Data 2001-2021'!$AI$78+'Quarterly Data 2001-2021'!$AJ$78+'Quarterly Data 2001-2021'!$AK$78+'Quarterly Data 2001-2021'!$AL$78)/5)</f>
        <v>5.6830257121621144E-3</v>
      </c>
      <c r="K122" s="158">
        <f>K35/(('Quarterly Data 2001-2021'!$AL$78+'Quarterly Data 2001-2021'!$AM$78+'Quarterly Data 2001-2021'!$AN$78+'Quarterly Data 2001-2021'!$AO$78+'Quarterly Data 2001-2021'!$AP$78)/5)</f>
        <v>4.3993139661034708E-3</v>
      </c>
      <c r="L122" s="158">
        <f>L35/(('Quarterly Data 2001-2021'!$AP$78+'Quarterly Data 2001-2021'!$AQ$78+'Quarterly Data 2001-2021'!$AR$78+'Quarterly Data 2001-2021'!$AS$78+'Quarterly Data 2001-2021'!$AT$78)/5)</f>
        <v>4.107456190792994E-3</v>
      </c>
      <c r="M122" s="158">
        <f>M35/(('Quarterly Data 2001-2021'!$AT$78+'Quarterly Data 2001-2021'!$AU$78+'Quarterly Data 2001-2021'!$AV$78+'Quarterly Data 2001-2021'!$AW$78+'Quarterly Data 2001-2021'!$AX$78)/5)</f>
        <v>2.4087582381076486E-3</v>
      </c>
      <c r="N122" s="158">
        <f>N35/(('Quarterly Data 2001-2021'!$AX$78+'Quarterly Data 2001-2021'!$AY$78+'Quarterly Data 2001-2021'!$AZ$78+'Quarterly Data 2001-2021'!$BA$78+'Quarterly Data 2001-2021'!$BB$78)/5)</f>
        <v>2.233413404414057E-3</v>
      </c>
      <c r="O122" s="158">
        <f>O35/(('Quarterly Data 2001-2021'!$BB$78+'Quarterly Data 2001-2021'!$BC$78+'Quarterly Data 2001-2021'!$BD$78+'Quarterly Data 2001-2021'!$BE$78+'Quarterly Data 2001-2021'!$BF$78)/5)</f>
        <v>2.2332962088504162E-3</v>
      </c>
      <c r="P122" s="158">
        <f>P35/(('Quarterly Data 2001-2021'!$BF$78+'Quarterly Data 2001-2021'!$BG$78+'Quarterly Data 2001-2021'!$BH$78+'Quarterly Data 2001-2021'!$BI$78+'Quarterly Data 2001-2021'!$BJ$78)/5)</f>
        <v>2.7789537690603365E-3</v>
      </c>
      <c r="Q122" s="158">
        <f>(Q35)/(('Quarterly Data 2001-2021'!$BJ$78+'Quarterly Data 2001-2021'!$BK$78+'Quarterly Data 2001-2021'!$BL$78+'Quarterly Data 2001-2021'!$BM$78+'Quarterly Data 2001-2021'!$BN$78)/5)</f>
        <v>2.1739582080119203E-3</v>
      </c>
      <c r="R122" s="158">
        <f>(R35)/(('Quarterly Data 2001-2021'!$BN$78+'Quarterly Data 2001-2021'!$BO$78+'Quarterly Data 2001-2021'!$BP$78+'Quarterly Data 2001-2021'!$BQ$78+'Quarterly Data 2001-2021'!$BR$78)/5)</f>
        <v>1.659824170955587E-3</v>
      </c>
      <c r="S122" s="158">
        <f>(S35+35)/(('Quarterly Data 2001-2021'!$BR$78+'Quarterly Data 2001-2021'!$BS$78+'Quarterly Data 2001-2021'!$BT$78+'Quarterly Data 2001-2021'!$BU$78+'Quarterly Data 2001-2021'!$BV$78)/5)</f>
        <v>1.4998009914241315E-3</v>
      </c>
      <c r="T122" s="158">
        <f>T35/(('Quarterly Data 2001-2021'!$BV$78+'Quarterly Data 2001-2021'!$BW$78+'Quarterly Data 2001-2021'!$BX$78+'Quarterly Data 2001-2021'!$BY$78+'Quarterly Data 2001-2021'!$BZ$78)/5)</f>
        <v>1.4609347425813856E-3</v>
      </c>
      <c r="U122" s="158">
        <f>U35/(('Quarterly Data 2001-2021'!$BZ$78+'Quarterly Data 2001-2021'!$CA$78+'Quarterly Data 2001-2021'!$CB$78+'Quarterly Data 2001-2021'!$CC$78+'Quarterly Data 2001-2021'!$CD$78)/5)</f>
        <v>3.4194708145344568E-3</v>
      </c>
      <c r="V122" s="117">
        <f>+((U122/B122)^(1/19))-1</f>
        <v>5.2387138059472926E-2</v>
      </c>
    </row>
    <row r="123" spans="1:23" x14ac:dyDescent="0.2">
      <c r="A123" s="11"/>
      <c r="B123" s="166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7"/>
      <c r="Q123" s="167"/>
      <c r="R123" s="167"/>
      <c r="S123" s="168"/>
      <c r="T123" s="168"/>
      <c r="U123" s="168"/>
      <c r="V123" s="38"/>
    </row>
    <row r="124" spans="1:23" x14ac:dyDescent="0.2">
      <c r="A124" s="39" t="s">
        <v>108</v>
      </c>
      <c r="B124" s="152">
        <f>+B11/((B73+'Quarterly Data 2001-2021'!B73)/2)</f>
        <v>7.5565831990021806E-3</v>
      </c>
      <c r="C124" s="149">
        <f t="shared" ref="C124:U124" si="29">+C11/((C73+B73)/2)</f>
        <v>1.1227189744332122E-2</v>
      </c>
      <c r="D124" s="149">
        <f t="shared" si="29"/>
        <v>1.1950720064453321E-2</v>
      </c>
      <c r="E124" s="149">
        <f t="shared" si="29"/>
        <v>1.0266931888790196E-2</v>
      </c>
      <c r="F124" s="149">
        <f t="shared" si="29"/>
        <v>7.926777549021876E-3</v>
      </c>
      <c r="G124" s="149">
        <f t="shared" si="29"/>
        <v>8.2432037415960235E-3</v>
      </c>
      <c r="H124" s="149">
        <f t="shared" si="29"/>
        <v>7.7641430632546145E-3</v>
      </c>
      <c r="I124" s="149">
        <f t="shared" si="29"/>
        <v>8.5162145821672097E-3</v>
      </c>
      <c r="J124" s="149">
        <f t="shared" si="29"/>
        <v>9.3713071662347054E-3</v>
      </c>
      <c r="K124" s="149">
        <f t="shared" si="29"/>
        <v>6.6643027202269393E-3</v>
      </c>
      <c r="L124" s="149">
        <f t="shared" si="29"/>
        <v>5.9044946538294061E-3</v>
      </c>
      <c r="M124" s="149">
        <f t="shared" si="29"/>
        <v>4.2580454388645213E-3</v>
      </c>
      <c r="N124" s="149">
        <f t="shared" si="29"/>
        <v>3.9239867705588875E-3</v>
      </c>
      <c r="O124" s="149">
        <f t="shared" si="29"/>
        <v>3.6926478891379376E-3</v>
      </c>
      <c r="P124" s="149">
        <f t="shared" si="29"/>
        <v>4.7134768440017872E-3</v>
      </c>
      <c r="Q124" s="149">
        <f t="shared" si="29"/>
        <v>3.5520133199752738E-3</v>
      </c>
      <c r="R124" s="149">
        <f t="shared" si="29"/>
        <v>2.9496041794433484E-3</v>
      </c>
      <c r="S124" s="149">
        <f t="shared" si="29"/>
        <v>2.7168341708981862E-3</v>
      </c>
      <c r="T124" s="149">
        <f t="shared" si="29"/>
        <v>2.4139625397689812E-3</v>
      </c>
      <c r="U124" s="149">
        <f t="shared" si="29"/>
        <v>3.8866436304377584E-3</v>
      </c>
      <c r="V124" s="46">
        <f>+((U124/B124)^(1/19))-1</f>
        <v>-3.4388137795315799E-2</v>
      </c>
    </row>
    <row r="125" spans="1:23" ht="15" x14ac:dyDescent="0.2">
      <c r="A125" s="47" t="s">
        <v>205</v>
      </c>
      <c r="B125" s="156">
        <f>B12/(('Quarterly Data 2001-2021'!B74+B74)/2)</f>
        <v>3.1372549019607846E-3</v>
      </c>
      <c r="C125" s="153">
        <f t="shared" ref="C125:S125" si="30">C12/((B74+C74)/2)</f>
        <v>6.0606060606060606E-3</v>
      </c>
      <c r="D125" s="153">
        <f t="shared" si="30"/>
        <v>4.3181818181818182E-3</v>
      </c>
      <c r="E125" s="153">
        <f t="shared" si="30"/>
        <v>9.1478696741854638E-3</v>
      </c>
      <c r="F125" s="153">
        <f t="shared" si="30"/>
        <v>1.3311884174542528E-2</v>
      </c>
      <c r="G125" s="153">
        <f t="shared" si="30"/>
        <v>8.5714285714285719E-3</v>
      </c>
      <c r="H125" s="153">
        <f t="shared" si="30"/>
        <v>8.8535688954800434E-3</v>
      </c>
      <c r="I125" s="153">
        <f t="shared" si="30"/>
        <v>5.4404377703712705E-3</v>
      </c>
      <c r="J125" s="153">
        <f t="shared" si="30"/>
        <v>4.9879195020265396E-3</v>
      </c>
      <c r="K125" s="153">
        <f t="shared" si="30"/>
        <v>5.2508751458576431E-3</v>
      </c>
      <c r="L125" s="153">
        <f t="shared" si="30"/>
        <v>4.2795051822133072E-3</v>
      </c>
      <c r="M125" s="153">
        <f t="shared" si="30"/>
        <v>3.7555379514714079E-3</v>
      </c>
      <c r="N125" s="153">
        <f t="shared" si="30"/>
        <v>3.5029262249562133E-3</v>
      </c>
      <c r="O125" s="153">
        <f t="shared" si="30"/>
        <v>3.3366102739424532E-3</v>
      </c>
      <c r="P125" s="153">
        <f t="shared" si="30"/>
        <v>3.5834502229477793E-3</v>
      </c>
      <c r="Q125" s="153">
        <f t="shared" si="30"/>
        <v>3.1076073650150729E-3</v>
      </c>
      <c r="R125" s="153">
        <f t="shared" si="30"/>
        <v>3.444243303442849E-3</v>
      </c>
      <c r="S125" s="153">
        <f t="shared" si="30"/>
        <v>3.7298106267158347E-3</v>
      </c>
      <c r="T125" s="153">
        <v>3.3500000000000001E-3</v>
      </c>
      <c r="U125" s="153">
        <v>3.475778010295652E-3</v>
      </c>
      <c r="V125" s="96">
        <f>+((U125/B125)^(1/19))-1</f>
        <v>5.4077355801396276E-3</v>
      </c>
    </row>
    <row r="126" spans="1:23" x14ac:dyDescent="0.2">
      <c r="A126" s="11"/>
      <c r="B126" s="166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7"/>
      <c r="Q126" s="168"/>
      <c r="R126" s="168"/>
      <c r="S126" s="168"/>
      <c r="T126" s="168"/>
      <c r="U126" s="168"/>
      <c r="V126" s="38"/>
    </row>
    <row r="127" spans="1:23" x14ac:dyDescent="0.2">
      <c r="A127" s="304" t="s">
        <v>162</v>
      </c>
      <c r="B127" s="81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107"/>
      <c r="Q127" s="119"/>
      <c r="R127" s="119"/>
      <c r="S127" s="119"/>
      <c r="T127" s="119"/>
      <c r="U127" s="119"/>
      <c r="V127" s="38"/>
    </row>
    <row r="128" spans="1:23" x14ac:dyDescent="0.2">
      <c r="A128" s="39" t="s">
        <v>151</v>
      </c>
      <c r="B128" s="83">
        <f>'Quarterly Data 2001-2021'!F128</f>
        <v>65</v>
      </c>
      <c r="C128" s="41">
        <f>'Quarterly Data 2001-2021'!J128</f>
        <v>53</v>
      </c>
      <c r="D128" s="41">
        <f>'Quarterly Data 2001-2021'!N128</f>
        <v>61</v>
      </c>
      <c r="E128" s="41">
        <f>'Quarterly Data 2001-2021'!R128</f>
        <v>73</v>
      </c>
      <c r="F128" s="41">
        <f>'Quarterly Data 2001-2021'!V128</f>
        <v>94</v>
      </c>
      <c r="G128" s="41">
        <f>'Quarterly Data 2001-2021'!Z128</f>
        <v>157</v>
      </c>
      <c r="H128" s="41">
        <f>'Quarterly Data 2001-2021'!AD128</f>
        <v>210</v>
      </c>
      <c r="I128" s="41">
        <f>'Quarterly Data 2001-2021'!AH128</f>
        <v>192</v>
      </c>
      <c r="J128" s="41">
        <f>'Quarterly Data 2001-2021'!AL128</f>
        <v>194</v>
      </c>
      <c r="K128" s="41">
        <f>'Quarterly Data 2001-2021'!AP128</f>
        <v>244</v>
      </c>
      <c r="L128" s="41">
        <f>'Quarterly Data 2001-2021'!AT128</f>
        <v>260</v>
      </c>
      <c r="M128" s="41">
        <f>+'Quarterly Data 2001-2021'!AX128</f>
        <v>262</v>
      </c>
      <c r="N128" s="41">
        <f>+'Quarterly Data 2001-2021'!BB128</f>
        <v>264</v>
      </c>
      <c r="O128" s="41">
        <f>+'Quarterly Data 2001-2021'!BF128</f>
        <v>296</v>
      </c>
      <c r="P128" s="41">
        <f>+'Quarterly Data 2001-2021'!BJ128</f>
        <v>334</v>
      </c>
      <c r="Q128" s="42">
        <f>+'Quarterly Data 2001-2021'!BN128</f>
        <v>365</v>
      </c>
      <c r="R128" s="42">
        <f>+'Quarterly Data 2001-2021'!BR128</f>
        <v>390</v>
      </c>
      <c r="S128" s="42">
        <f>+'Quarterly Data 2001-2021'!BV128</f>
        <v>422</v>
      </c>
      <c r="T128" s="42">
        <f>+'Quarterly Data 2001-2021'!BZ128</f>
        <v>445</v>
      </c>
      <c r="U128" s="42">
        <f>+'Quarterly Data 2001-2021'!CD128</f>
        <v>510</v>
      </c>
      <c r="V128" s="46">
        <f>+((U128/B128)^(1/19))-1</f>
        <v>0.11451829277829773</v>
      </c>
    </row>
    <row r="129" spans="1:23" x14ac:dyDescent="0.2">
      <c r="A129" s="47" t="s">
        <v>152</v>
      </c>
      <c r="B129" s="53">
        <v>64</v>
      </c>
      <c r="C129" s="49">
        <v>62</v>
      </c>
      <c r="D129" s="49">
        <v>56</v>
      </c>
      <c r="E129" s="49">
        <v>74</v>
      </c>
      <c r="F129" s="49">
        <v>93</v>
      </c>
      <c r="G129" s="49">
        <v>129</v>
      </c>
      <c r="H129" s="49">
        <v>178</v>
      </c>
      <c r="I129" s="49">
        <v>196</v>
      </c>
      <c r="J129" s="49">
        <v>185</v>
      </c>
      <c r="K129" s="49">
        <f>AVERAGE('Quarterly Data 2001-2021'!AL128:AP128)</f>
        <v>224.8</v>
      </c>
      <c r="L129" s="49">
        <f>AVERAGE('Quarterly Data 2001-2021'!AP128:AT128)</f>
        <v>255.6</v>
      </c>
      <c r="M129" s="49">
        <f>+('Quarterly Data 2001-2021'!AT128+'Quarterly Data 2001-2021'!AU128+'Quarterly Data 2001-2021'!AV128+'Quarterly Data 2001-2021'!AW128+271)/5</f>
        <v>269.2</v>
      </c>
      <c r="N129" s="49">
        <f>+('Quarterly Data 2001-2021'!AX128+'Quarterly Data 2001-2021'!AY128+'Quarterly Data 2001-2021'!AZ128+'Quarterly Data 2001-2021'!BA128+'Quarterly Data 2001-2021'!BB128)/5</f>
        <v>266.60000000000002</v>
      </c>
      <c r="O129" s="49">
        <f>+('Quarterly Data 2001-2021'!BB128+'Quarterly Data 2001-2021'!BC128+'Quarterly Data 2001-2021'!BD128+'Quarterly Data 2001-2021'!BE128+'Quarterly Data 2001-2021'!BF128)/5</f>
        <v>282.60000000000002</v>
      </c>
      <c r="P129" s="49">
        <f>+('Quarterly Data 2001-2021'!BF128+'Quarterly Data 2001-2021'!BG128+'Quarterly Data 2001-2021'!BH128+'Quarterly Data 2001-2021'!BI128+'Quarterly Data 2001-2021'!BJ128)/5</f>
        <v>322.8</v>
      </c>
      <c r="Q129" s="49">
        <f>+('Quarterly Data 2001-2021'!BJ128+'Quarterly Data 2001-2021'!BK128+'Quarterly Data 2001-2021'!BL128+'Quarterly Data 2001-2021'!BM128+'Quarterly Data 2001-2021'!BN128)/5</f>
        <v>343.2</v>
      </c>
      <c r="R129" s="49">
        <f>+('Quarterly Data 2001-2021'!BN128+'Quarterly Data 2001-2021'!BO128+'Quarterly Data 2001-2021'!BP128+'Quarterly Data 2001-2021'!BQ128+'Quarterly Data 2001-2021'!BR128)/5</f>
        <v>382.6</v>
      </c>
      <c r="S129" s="49">
        <f>+('Quarterly Data 2001-2021'!BR128+'Quarterly Data 2001-2021'!BS128+'Quarterly Data 2001-2021'!BT128+'Quarterly Data 2001-2021'!BU128+'Quarterly Data 2001-2021'!BV128)/5</f>
        <v>406</v>
      </c>
      <c r="T129" s="49">
        <f>+('Quarterly Data 2001-2021'!BV128+'Quarterly Data 2001-2021'!BW128+'Quarterly Data 2001-2021'!BX128+'Quarterly Data 2001-2021'!BY128+'Quarterly Data 2001-2021'!BZ128)/5</f>
        <v>429.2</v>
      </c>
      <c r="U129" s="49">
        <f>+('Quarterly Data 2001-2021'!BZ128+'Quarterly Data 2001-2021'!CA128+'Quarterly Data 2001-2021'!CB128+'Quarterly Data 2001-2021'!CC128+'Quarterly Data 2001-2021'!CD128)/5</f>
        <v>477.8</v>
      </c>
      <c r="V129" s="96">
        <f>+((U129/B129)^(1/19))-1</f>
        <v>0.11160592032095873</v>
      </c>
    </row>
    <row r="130" spans="1:23" x14ac:dyDescent="0.2">
      <c r="A130" s="47" t="s">
        <v>91</v>
      </c>
      <c r="B130" s="104">
        <f t="shared" ref="B130:U130" si="31">+B23/B129</f>
        <v>1.4828124999999999</v>
      </c>
      <c r="C130" s="101">
        <f t="shared" si="31"/>
        <v>1.9774193548387102</v>
      </c>
      <c r="D130" s="101">
        <f t="shared" si="31"/>
        <v>2.6703928571428572</v>
      </c>
      <c r="E130" s="101">
        <f t="shared" si="31"/>
        <v>2.8353513513513513</v>
      </c>
      <c r="F130" s="101">
        <f t="shared" si="31"/>
        <v>3.0521935483870966</v>
      </c>
      <c r="G130" s="101">
        <f t="shared" si="31"/>
        <v>3.5104108527131777</v>
      </c>
      <c r="H130" s="101">
        <f t="shared" si="31"/>
        <v>3.1150202528089896</v>
      </c>
      <c r="I130" s="101">
        <f t="shared" si="31"/>
        <v>2.582179270408163</v>
      </c>
      <c r="J130" s="101">
        <f t="shared" si="31"/>
        <v>2.7507191836756757</v>
      </c>
      <c r="K130" s="101">
        <f t="shared" si="31"/>
        <v>2.7302332161032026</v>
      </c>
      <c r="L130" s="101">
        <f t="shared" si="31"/>
        <v>2.6733889631455399</v>
      </c>
      <c r="M130" s="101">
        <f t="shared" si="31"/>
        <v>2.0492052932763745</v>
      </c>
      <c r="N130" s="101">
        <f t="shared" si="31"/>
        <v>2.1764949999999996</v>
      </c>
      <c r="O130" s="101">
        <f t="shared" si="31"/>
        <v>2.3992002830856332</v>
      </c>
      <c r="P130" s="101">
        <f t="shared" si="31"/>
        <v>2.7752168525402725</v>
      </c>
      <c r="Q130" s="101">
        <f t="shared" si="31"/>
        <v>2.6474358974358978</v>
      </c>
      <c r="R130" s="101">
        <f t="shared" si="31"/>
        <v>2.5496523784631466</v>
      </c>
      <c r="S130" s="101">
        <f t="shared" si="31"/>
        <v>2.5837362910832513</v>
      </c>
      <c r="T130" s="101">
        <f t="shared" si="31"/>
        <v>2.7806382456430607</v>
      </c>
      <c r="U130" s="101">
        <f t="shared" si="31"/>
        <v>4.9158251163814661</v>
      </c>
      <c r="V130" s="96">
        <f>+((U130/B130)^(1/19))-1</f>
        <v>6.5111988416498789E-2</v>
      </c>
    </row>
    <row r="131" spans="1:23" x14ac:dyDescent="0.2">
      <c r="A131" s="47" t="s">
        <v>92</v>
      </c>
      <c r="B131" s="104">
        <f t="shared" ref="B131:R131" si="32">-B29/B129</f>
        <v>1.3360515624999998</v>
      </c>
      <c r="C131" s="101">
        <f t="shared" si="32"/>
        <v>1.5423225806451613</v>
      </c>
      <c r="D131" s="101">
        <f t="shared" si="32"/>
        <v>1.6190535714285714</v>
      </c>
      <c r="E131" s="101">
        <f t="shared" si="32"/>
        <v>1.4686216216216217</v>
      </c>
      <c r="F131" s="101">
        <f t="shared" si="32"/>
        <v>1.4756344086021502</v>
      </c>
      <c r="G131" s="101">
        <f t="shared" si="32"/>
        <v>1.619968992248062</v>
      </c>
      <c r="H131" s="101">
        <f t="shared" si="32"/>
        <v>1.3855142923651687</v>
      </c>
      <c r="I131" s="101">
        <f t="shared" si="32"/>
        <v>1.360257783283163</v>
      </c>
      <c r="J131" s="101">
        <f t="shared" si="32"/>
        <v>1.2372028617207187</v>
      </c>
      <c r="K131" s="101">
        <f t="shared" si="32"/>
        <v>1.2569092312237855</v>
      </c>
      <c r="L131" s="101">
        <f t="shared" si="32"/>
        <v>1.3165727969483567</v>
      </c>
      <c r="M131" s="101">
        <f t="shared" si="32"/>
        <v>1.2989670129633581</v>
      </c>
      <c r="N131" s="101">
        <f t="shared" si="32"/>
        <v>1.3238559639909979</v>
      </c>
      <c r="O131" s="101">
        <f t="shared" si="32"/>
        <v>1.3543524416135879</v>
      </c>
      <c r="P131" s="101">
        <f t="shared" si="32"/>
        <v>1.2732342007434945</v>
      </c>
      <c r="Q131" s="101">
        <f t="shared" si="32"/>
        <v>1.2913752913752914</v>
      </c>
      <c r="R131" s="101">
        <f t="shared" si="32"/>
        <v>1.397804495556717</v>
      </c>
      <c r="S131" s="101">
        <f>-(S29+35)/S129</f>
        <v>1.4637936745007263</v>
      </c>
      <c r="T131" s="101">
        <f>-T29/T129</f>
        <v>1.5506106600802574</v>
      </c>
      <c r="U131" s="101">
        <f>-U29/U129</f>
        <v>1.5960503310572487</v>
      </c>
      <c r="V131" s="96">
        <f>+((U131/B131)^(1/19))-1</f>
        <v>9.4025267793951262E-3</v>
      </c>
    </row>
    <row r="132" spans="1:23" x14ac:dyDescent="0.2">
      <c r="A132" s="11" t="s">
        <v>93</v>
      </c>
      <c r="B132" s="214">
        <f t="shared" ref="B132:R132" si="33">+B35/B129</f>
        <v>0.14676093750000008</v>
      </c>
      <c r="C132" s="211">
        <f t="shared" si="33"/>
        <v>0.4334838709677426</v>
      </c>
      <c r="D132" s="211">
        <f t="shared" si="33"/>
        <v>1.0513392857142858</v>
      </c>
      <c r="E132" s="211">
        <f t="shared" si="33"/>
        <v>1.3667297297297298</v>
      </c>
      <c r="F132" s="211">
        <f t="shared" si="33"/>
        <v>1.5776344086021505</v>
      </c>
      <c r="G132" s="211">
        <f t="shared" si="33"/>
        <v>1.8904418604651156</v>
      </c>
      <c r="H132" s="211">
        <f t="shared" si="33"/>
        <v>1.7213598930280907</v>
      </c>
      <c r="I132" s="211">
        <f t="shared" si="33"/>
        <v>1.2219214871249997</v>
      </c>
      <c r="J132" s="211">
        <f t="shared" si="33"/>
        <v>1.513516321954957</v>
      </c>
      <c r="K132" s="211">
        <f t="shared" si="33"/>
        <v>1.4733239848794173</v>
      </c>
      <c r="L132" s="211">
        <f t="shared" si="33"/>
        <v>1.3333419877934274</v>
      </c>
      <c r="M132" s="211">
        <f t="shared" si="33"/>
        <v>0.74652357006041614</v>
      </c>
      <c r="N132" s="211">
        <f t="shared" si="33"/>
        <v>0.84888809827456824</v>
      </c>
      <c r="O132" s="211">
        <f t="shared" si="33"/>
        <v>1.0462632696390659</v>
      </c>
      <c r="P132" s="211">
        <f t="shared" si="33"/>
        <v>1.5012391573729864</v>
      </c>
      <c r="Q132" s="211">
        <f t="shared" si="33"/>
        <v>1.3546037296037297</v>
      </c>
      <c r="R132" s="211">
        <f t="shared" si="33"/>
        <v>1.1526398327234708</v>
      </c>
      <c r="S132" s="211">
        <f>(S35+35)/S129</f>
        <v>1.1154361099985419</v>
      </c>
      <c r="T132" s="211">
        <f>T35/T129</f>
        <v>1.2115929485637353</v>
      </c>
      <c r="U132" s="211">
        <f>U35/U129</f>
        <v>3.2994740514816061</v>
      </c>
      <c r="V132" s="108">
        <f>+((U132/B132)^(1/19))-1</f>
        <v>0.17801052452271171</v>
      </c>
    </row>
    <row r="133" spans="1:23" x14ac:dyDescent="0.2">
      <c r="A133" s="11"/>
      <c r="B133" s="214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5"/>
      <c r="Q133" s="216"/>
      <c r="R133" s="216"/>
      <c r="S133" s="216"/>
      <c r="T133" s="216"/>
      <c r="U133" s="216"/>
      <c r="V133" s="108"/>
    </row>
    <row r="134" spans="1:23" x14ac:dyDescent="0.2">
      <c r="A134" s="304" t="s">
        <v>163</v>
      </c>
      <c r="B134" s="81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107"/>
      <c r="Q134" s="119"/>
      <c r="R134" s="119"/>
      <c r="S134" s="119"/>
      <c r="T134" s="119"/>
      <c r="U134" s="119"/>
      <c r="V134" s="38"/>
    </row>
    <row r="135" spans="1:23" ht="15" x14ac:dyDescent="0.2">
      <c r="A135" s="39" t="s">
        <v>206</v>
      </c>
      <c r="B135" s="227">
        <f>'Quarterly Data 2001-2021'!F135</f>
        <v>3</v>
      </c>
      <c r="C135" s="109">
        <f>'Quarterly Data 2001-2021'!J135</f>
        <v>2.7</v>
      </c>
      <c r="D135" s="109">
        <f>'Quarterly Data 2001-2021'!N135</f>
        <v>5.66</v>
      </c>
      <c r="E135" s="109">
        <f>'Quarterly Data 2001-2021'!R135</f>
        <v>8.5</v>
      </c>
      <c r="F135" s="109">
        <f>'Quarterly Data 2001-2021'!V135</f>
        <v>19.8</v>
      </c>
      <c r="G135" s="109">
        <f>'Quarterly Data 2001-2021'!Z135</f>
        <v>24.65</v>
      </c>
      <c r="H135" s="109">
        <f>'Quarterly Data 2001-2021'!AD135</f>
        <v>27.1</v>
      </c>
      <c r="I135" s="109">
        <f>'Quarterly Data 2001-2021'!AH135</f>
        <v>14.2</v>
      </c>
      <c r="J135" s="109">
        <f>'Quarterly Data 2001-2021'!AL135</f>
        <v>33.700000000000003</v>
      </c>
      <c r="K135" s="109">
        <f>'Quarterly Data 2001-2021'!AP135</f>
        <v>46.8</v>
      </c>
      <c r="L135" s="109">
        <f>'Quarterly Data 2001-2021'!AT135</f>
        <v>32.9</v>
      </c>
      <c r="M135" s="109">
        <f>+'Quarterly Data 2001-2021'!AX135</f>
        <v>26.3</v>
      </c>
      <c r="N135" s="109">
        <f>+'Quarterly Data 2001-2021'!BB135</f>
        <v>41.8</v>
      </c>
      <c r="O135" s="109">
        <f>+'Quarterly Data 2001-2021'!BF135</f>
        <v>51.6</v>
      </c>
      <c r="P135" s="109">
        <f>+'Quarterly Data 2001-2021'!BJ135</f>
        <v>73.5</v>
      </c>
      <c r="Q135" s="109">
        <f>+'Quarterly Data 2001-2021'!BN135</f>
        <v>73.8</v>
      </c>
      <c r="R135" s="109">
        <f>+'Quarterly Data 2001-2021'!BR135</f>
        <v>68.820000000000007</v>
      </c>
      <c r="S135" s="109">
        <f>+'Quarterly Data 2001-2021'!BV135</f>
        <v>84.72</v>
      </c>
      <c r="T135" s="109">
        <f>+'Quarterly Data 2001-2021'!BZ135</f>
        <v>97.8</v>
      </c>
      <c r="U135" s="109">
        <f>+'Quarterly Data 2001-2021'!CD135</f>
        <v>233</v>
      </c>
      <c r="V135" s="108">
        <f>+((U135/B135)^(1/19))-1</f>
        <v>0.25743642029305458</v>
      </c>
    </row>
    <row r="136" spans="1:23" x14ac:dyDescent="0.2">
      <c r="A136" s="47" t="s">
        <v>94</v>
      </c>
      <c r="B136" s="53">
        <f>+B135*B144/1000000</f>
        <v>399.34311000000002</v>
      </c>
      <c r="C136" s="49">
        <f t="shared" ref="C136:R136" si="34">+C135*C144/1000000</f>
        <v>359.40879899999999</v>
      </c>
      <c r="D136" s="49">
        <f t="shared" si="34"/>
        <v>753.42733420000002</v>
      </c>
      <c r="E136" s="49">
        <f t="shared" si="34"/>
        <v>1131.472145</v>
      </c>
      <c r="F136" s="49">
        <f t="shared" si="34"/>
        <v>2719.1017259999999</v>
      </c>
      <c r="G136" s="49">
        <f t="shared" si="34"/>
        <v>3385.1443205</v>
      </c>
      <c r="H136" s="49">
        <f t="shared" si="34"/>
        <v>3680.18</v>
      </c>
      <c r="I136" s="49">
        <f t="shared" si="34"/>
        <v>1958.0103099999999</v>
      </c>
      <c r="J136" s="49">
        <f t="shared" si="34"/>
        <v>4646.8272850000003</v>
      </c>
      <c r="K136" s="49">
        <f t="shared" si="34"/>
        <v>6542.0479800000003</v>
      </c>
      <c r="L136" s="49">
        <f t="shared" si="34"/>
        <v>4649.1893104999999</v>
      </c>
      <c r="M136" s="49">
        <f t="shared" si="34"/>
        <v>3796.8977304999999</v>
      </c>
      <c r="N136" s="49">
        <f t="shared" si="34"/>
        <v>6034.6131230000001</v>
      </c>
      <c r="O136" s="49">
        <f t="shared" si="34"/>
        <v>7449.4267259999997</v>
      </c>
      <c r="P136" s="49">
        <f t="shared" si="34"/>
        <v>10783.95234</v>
      </c>
      <c r="Q136" s="49">
        <f t="shared" si="34"/>
        <v>11010.562217999999</v>
      </c>
      <c r="R136" s="49">
        <f t="shared" si="34"/>
        <v>10321.699990200001</v>
      </c>
      <c r="S136" s="49">
        <f>+S135*S144/1000000</f>
        <v>12823.6411056</v>
      </c>
      <c r="T136" s="49">
        <f>+T135*T144/1000000</f>
        <v>15040.302291600001</v>
      </c>
      <c r="U136" s="49">
        <f>+U135*U144/1000000</f>
        <v>36104.284330000002</v>
      </c>
      <c r="V136" s="96">
        <f>+((U136/B136)^(1/19))-1</f>
        <v>0.26753089878590464</v>
      </c>
    </row>
    <row r="137" spans="1:23" ht="15" x14ac:dyDescent="0.2">
      <c r="A137" s="47" t="s">
        <v>207</v>
      </c>
      <c r="B137" s="230">
        <f t="shared" ref="B137:T137" si="35">+B39*1000000/B145</f>
        <v>5.9070656656389567E-2</v>
      </c>
      <c r="C137" s="228">
        <f t="shared" si="35"/>
        <v>0.14536912881757272</v>
      </c>
      <c r="D137" s="228">
        <f t="shared" si="35"/>
        <v>0.31844796320637658</v>
      </c>
      <c r="E137" s="228">
        <f t="shared" si="35"/>
        <v>0.54704356862448433</v>
      </c>
      <c r="F137" s="228">
        <f t="shared" si="35"/>
        <v>0.77634580710620193</v>
      </c>
      <c r="G137" s="228">
        <f t="shared" si="35"/>
        <v>1.3694693966002791</v>
      </c>
      <c r="H137" s="228">
        <f t="shared" si="35"/>
        <v>1.6931367338733818</v>
      </c>
      <c r="I137" s="228">
        <f t="shared" si="35"/>
        <v>1.3564155714708781</v>
      </c>
      <c r="J137" s="228">
        <f t="shared" si="35"/>
        <v>1.65496951738506</v>
      </c>
      <c r="K137" s="228">
        <f t="shared" si="35"/>
        <v>1.9554197146346461</v>
      </c>
      <c r="L137" s="228">
        <f t="shared" si="35"/>
        <v>2.0578257522408672</v>
      </c>
      <c r="M137" s="228">
        <f t="shared" si="35"/>
        <v>1.1160767309778497</v>
      </c>
      <c r="N137" s="228">
        <f t="shared" si="35"/>
        <v>1.3390265350735386</v>
      </c>
      <c r="O137" s="228">
        <f t="shared" si="35"/>
        <v>1.728518297261523</v>
      </c>
      <c r="P137" s="229">
        <f t="shared" si="35"/>
        <v>2.8445319102341844</v>
      </c>
      <c r="Q137" s="229">
        <f t="shared" si="35"/>
        <v>2.6898049687318903</v>
      </c>
      <c r="R137" s="229">
        <f t="shared" si="35"/>
        <v>2.5292956952575198</v>
      </c>
      <c r="S137" s="229">
        <f t="shared" si="35"/>
        <v>2.3204498833221971</v>
      </c>
      <c r="T137" s="229">
        <f t="shared" si="35"/>
        <v>2.9381322399583394</v>
      </c>
      <c r="U137" s="229">
        <f t="shared" ref="U137" si="36">+U39*1000000/U145</f>
        <v>8.6578266726381781</v>
      </c>
      <c r="V137" s="96">
        <f>+((U137/B137)^(1/19))-1</f>
        <v>0.30017542191237245</v>
      </c>
      <c r="W137" s="424"/>
    </row>
    <row r="138" spans="1:23" ht="15" x14ac:dyDescent="0.2">
      <c r="A138" s="11" t="s">
        <v>208</v>
      </c>
      <c r="B138" s="232">
        <f t="shared" ref="B138:T138" si="37">+B39*1000000/B146</f>
        <v>5.8942267423947634E-2</v>
      </c>
      <c r="C138" s="231">
        <f t="shared" si="37"/>
        <v>0.14493019343079497</v>
      </c>
      <c r="D138" s="231">
        <f t="shared" si="37"/>
        <v>0.3163152637150724</v>
      </c>
      <c r="E138" s="231">
        <f t="shared" si="37"/>
        <v>0.53724804333789788</v>
      </c>
      <c r="F138" s="231">
        <f t="shared" si="37"/>
        <v>0.7722752880070809</v>
      </c>
      <c r="G138" s="231">
        <f t="shared" si="37"/>
        <v>1.3609744781916218</v>
      </c>
      <c r="H138" s="231">
        <f t="shared" si="37"/>
        <v>1.6805654542484618</v>
      </c>
      <c r="I138" s="231">
        <f t="shared" si="37"/>
        <v>1.3499989918598301</v>
      </c>
      <c r="J138" s="231">
        <f t="shared" si="37"/>
        <v>1.6503382358464438</v>
      </c>
      <c r="K138" s="231">
        <f t="shared" si="37"/>
        <v>1.9249825208125999</v>
      </c>
      <c r="L138" s="231">
        <f t="shared" si="37"/>
        <v>2.0426601701014424</v>
      </c>
      <c r="M138" s="231">
        <f t="shared" si="37"/>
        <v>1.1160767309778497</v>
      </c>
      <c r="N138" s="228">
        <f t="shared" si="37"/>
        <v>1.3390265350735386</v>
      </c>
      <c r="O138" s="228">
        <f t="shared" si="37"/>
        <v>1.7127668901433324</v>
      </c>
      <c r="P138" s="229">
        <f t="shared" si="37"/>
        <v>2.8184915328854876</v>
      </c>
      <c r="Q138" s="229">
        <f t="shared" si="37"/>
        <v>2.6878479320834709</v>
      </c>
      <c r="R138" s="229">
        <f t="shared" si="37"/>
        <v>2.5292956952575198</v>
      </c>
      <c r="S138" s="229">
        <f t="shared" si="37"/>
        <v>2.3143688271429701</v>
      </c>
      <c r="T138" s="229">
        <f t="shared" si="37"/>
        <v>2.9381322399583394</v>
      </c>
      <c r="U138" s="229">
        <f t="shared" ref="U138" si="38">+U39*1000000/U146</f>
        <v>8.5781912067336705</v>
      </c>
      <c r="V138" s="96">
        <f>+((U138/B138)^(1/19))-1</f>
        <v>0.29969206536137372</v>
      </c>
    </row>
    <row r="139" spans="1:23" ht="15" x14ac:dyDescent="0.2">
      <c r="A139" s="47" t="s">
        <v>209</v>
      </c>
      <c r="B139" s="53" t="s">
        <v>37</v>
      </c>
      <c r="C139" s="49" t="s">
        <v>37</v>
      </c>
      <c r="D139" s="97">
        <v>0.2</v>
      </c>
      <c r="E139" s="97">
        <v>0.3</v>
      </c>
      <c r="F139" s="97">
        <v>0.4</v>
      </c>
      <c r="G139" s="97">
        <v>0.8</v>
      </c>
      <c r="H139" s="97">
        <v>1.2</v>
      </c>
      <c r="I139" s="97">
        <v>1.2</v>
      </c>
      <c r="J139" s="97">
        <v>1.6</v>
      </c>
      <c r="K139" s="97">
        <v>1.9</v>
      </c>
      <c r="L139" s="97">
        <v>2</v>
      </c>
      <c r="M139" s="97">
        <v>1.6</v>
      </c>
      <c r="N139" s="97">
        <v>1.6</v>
      </c>
      <c r="O139" s="97">
        <v>1.4</v>
      </c>
      <c r="P139" s="98">
        <v>2.1</v>
      </c>
      <c r="Q139" s="98">
        <v>2.1</v>
      </c>
      <c r="R139" s="98">
        <v>2.1</v>
      </c>
      <c r="S139" s="98">
        <v>2.1</v>
      </c>
      <c r="T139" s="98">
        <v>2.2999999999999998</v>
      </c>
      <c r="U139" s="103">
        <v>0.85</v>
      </c>
      <c r="V139" s="96">
        <f>+((U139/D139)^(1/17))-1</f>
        <v>8.8839969486365744E-2</v>
      </c>
    </row>
    <row r="140" spans="1:23" x14ac:dyDescent="0.2">
      <c r="A140" s="47" t="s">
        <v>36</v>
      </c>
      <c r="B140" s="135" t="s">
        <v>37</v>
      </c>
      <c r="C140" s="134" t="s">
        <v>37</v>
      </c>
      <c r="D140" s="134">
        <f t="shared" ref="D140:R140" si="39">+D139/D135</f>
        <v>3.5335689045936397E-2</v>
      </c>
      <c r="E140" s="134">
        <f t="shared" si="39"/>
        <v>3.5294117647058823E-2</v>
      </c>
      <c r="F140" s="134">
        <f t="shared" si="39"/>
        <v>2.0202020202020204E-2</v>
      </c>
      <c r="G140" s="134">
        <f t="shared" si="39"/>
        <v>3.2454361054766741E-2</v>
      </c>
      <c r="H140" s="134">
        <f t="shared" si="39"/>
        <v>4.4280442804428041E-2</v>
      </c>
      <c r="I140" s="134">
        <f t="shared" si="39"/>
        <v>8.4507042253521125E-2</v>
      </c>
      <c r="J140" s="134">
        <f t="shared" si="39"/>
        <v>4.7477744807121663E-2</v>
      </c>
      <c r="K140" s="134">
        <f t="shared" si="39"/>
        <v>4.05982905982906E-2</v>
      </c>
      <c r="L140" s="134">
        <f t="shared" si="39"/>
        <v>6.0790273556231005E-2</v>
      </c>
      <c r="M140" s="134">
        <f t="shared" si="39"/>
        <v>6.0836501901140684E-2</v>
      </c>
      <c r="N140" s="134">
        <f t="shared" si="39"/>
        <v>3.8277511961722493E-2</v>
      </c>
      <c r="O140" s="134">
        <f t="shared" si="39"/>
        <v>2.713178294573643E-2</v>
      </c>
      <c r="P140" s="134">
        <f t="shared" si="39"/>
        <v>2.8571428571428574E-2</v>
      </c>
      <c r="Q140" s="134">
        <f t="shared" si="39"/>
        <v>2.8455284552845531E-2</v>
      </c>
      <c r="R140" s="134">
        <f t="shared" si="39"/>
        <v>3.0514385353095027E-2</v>
      </c>
      <c r="S140" s="134">
        <f>+S139/S135</f>
        <v>2.4787535410764873E-2</v>
      </c>
      <c r="T140" s="134">
        <f>+T139/T135</f>
        <v>2.3517382413087932E-2</v>
      </c>
      <c r="U140" s="134">
        <f>+U139/U135</f>
        <v>3.6480686695278971E-3</v>
      </c>
      <c r="V140" s="96">
        <f>+((U140/D140)^(1/17))-1</f>
        <v>-0.12503406791457705</v>
      </c>
    </row>
    <row r="141" spans="1:23" x14ac:dyDescent="0.2">
      <c r="A141" s="11" t="s">
        <v>50</v>
      </c>
      <c r="B141" s="81">
        <f t="shared" ref="B141:T141" si="40">B136/B39</f>
        <v>59.050454963251582</v>
      </c>
      <c r="C141" s="32">
        <f t="shared" si="40"/>
        <v>18.573407036017226</v>
      </c>
      <c r="D141" s="32">
        <f t="shared" si="40"/>
        <v>17.773704510497758</v>
      </c>
      <c r="E141" s="32">
        <f t="shared" si="40"/>
        <v>15.538067692437833</v>
      </c>
      <c r="F141" s="32">
        <f t="shared" si="40"/>
        <v>25.661586693091731</v>
      </c>
      <c r="G141" s="32">
        <f t="shared" si="40"/>
        <v>17.999672034434546</v>
      </c>
      <c r="H141" s="32">
        <f t="shared" si="40"/>
        <v>15.862703912144852</v>
      </c>
      <c r="I141" s="32">
        <f t="shared" si="40"/>
        <v>10.555504461320334</v>
      </c>
      <c r="J141" s="32">
        <f t="shared" si="40"/>
        <v>20.362912818628708</v>
      </c>
      <c r="K141" s="32">
        <f t="shared" si="40"/>
        <v>24.12230833887304</v>
      </c>
      <c r="L141" s="32">
        <f t="shared" si="40"/>
        <v>15.987461984027147</v>
      </c>
      <c r="M141" s="32">
        <f t="shared" si="40"/>
        <v>23.735929880221455</v>
      </c>
      <c r="N141" s="32">
        <f t="shared" si="40"/>
        <v>31.21670773888313</v>
      </c>
      <c r="O141" s="32">
        <f t="shared" si="40"/>
        <v>29.852157238803571</v>
      </c>
      <c r="P141" s="32">
        <f t="shared" si="40"/>
        <v>25.991690383224871</v>
      </c>
      <c r="Q141" s="32">
        <f t="shared" si="40"/>
        <v>27.602311902732513</v>
      </c>
      <c r="R141" s="32">
        <f t="shared" si="40"/>
        <v>27.306084630158733</v>
      </c>
      <c r="S141" s="32">
        <f t="shared" si="40"/>
        <v>36.736559941620975</v>
      </c>
      <c r="T141" s="32">
        <f t="shared" si="40"/>
        <v>33.65226684399515</v>
      </c>
      <c r="U141" s="32">
        <f t="shared" ref="U141" si="41">U136/U39</f>
        <v>27.052427721666955</v>
      </c>
      <c r="V141" s="117">
        <f t="shared" ref="V141:V146" si="42">+((U141/B141)^(1/19))-1</f>
        <v>-4.0252477148050358E-2</v>
      </c>
    </row>
    <row r="142" spans="1:23" x14ac:dyDescent="0.2">
      <c r="A142" s="47" t="s">
        <v>38</v>
      </c>
      <c r="B142" s="133">
        <f t="shared" ref="B142:T142" si="43">+B136/B52</f>
        <v>2.2409826599326603</v>
      </c>
      <c r="C142" s="130">
        <f t="shared" si="43"/>
        <v>1.8719208281249999</v>
      </c>
      <c r="D142" s="130">
        <f t="shared" si="43"/>
        <v>3.3001635313184408</v>
      </c>
      <c r="E142" s="130">
        <f t="shared" si="43"/>
        <v>4.2377233895131088</v>
      </c>
      <c r="F142" s="130">
        <f t="shared" si="43"/>
        <v>7.6875932315521629</v>
      </c>
      <c r="G142" s="130">
        <f t="shared" si="43"/>
        <v>6.9254180042962359</v>
      </c>
      <c r="H142" s="130">
        <f t="shared" si="43"/>
        <v>6.4226527050610818</v>
      </c>
      <c r="I142" s="130">
        <f t="shared" si="43"/>
        <v>3.1178508121019108</v>
      </c>
      <c r="J142" s="130">
        <f t="shared" si="43"/>
        <v>6.7053784776334782</v>
      </c>
      <c r="K142" s="130">
        <f t="shared" si="43"/>
        <v>8.0467994833948335</v>
      </c>
      <c r="L142" s="130">
        <f t="shared" si="43"/>
        <v>5.3111740432507766</v>
      </c>
      <c r="M142" s="130">
        <f t="shared" si="43"/>
        <v>4.5856252783816425</v>
      </c>
      <c r="N142" s="130">
        <f t="shared" si="43"/>
        <v>7.6002684168765748</v>
      </c>
      <c r="O142" s="130">
        <f t="shared" si="43"/>
        <v>9.1404008907975456</v>
      </c>
      <c r="P142" s="130">
        <f t="shared" si="43"/>
        <v>9.5772223268206034</v>
      </c>
      <c r="Q142" s="130">
        <f t="shared" si="43"/>
        <v>8.4178610229357798</v>
      </c>
      <c r="R142" s="130">
        <f t="shared" si="43"/>
        <v>7.2331464542396642</v>
      </c>
      <c r="S142" s="130">
        <f t="shared" si="43"/>
        <v>7.9437614068207143</v>
      </c>
      <c r="T142" s="130">
        <f t="shared" si="43"/>
        <v>7.7315413276116542</v>
      </c>
      <c r="U142" s="130">
        <f t="shared" ref="U142" si="44">+U136/U52</f>
        <v>11.381645236005712</v>
      </c>
      <c r="V142" s="96">
        <f t="shared" si="42"/>
        <v>8.9295244910410076E-2</v>
      </c>
    </row>
    <row r="143" spans="1:23" x14ac:dyDescent="0.2">
      <c r="A143" s="39" t="s">
        <v>51</v>
      </c>
      <c r="B143" s="237">
        <f t="shared" ref="B143:T143" si="45">B136/B78</f>
        <v>4.6508794139569556E-2</v>
      </c>
      <c r="C143" s="217">
        <f t="shared" si="45"/>
        <v>5.3120619429787609E-2</v>
      </c>
      <c r="D143" s="217">
        <f t="shared" si="45"/>
        <v>6.5485809390536456E-2</v>
      </c>
      <c r="E143" s="217">
        <f t="shared" si="45"/>
        <v>6.5395453993757943E-2</v>
      </c>
      <c r="F143" s="217">
        <f t="shared" si="45"/>
        <v>8.5319874048855479E-2</v>
      </c>
      <c r="G143" s="217">
        <f t="shared" si="45"/>
        <v>7.4358410280572967E-2</v>
      </c>
      <c r="H143" s="217">
        <f t="shared" si="45"/>
        <v>7.6371295758280069E-2</v>
      </c>
      <c r="I143" s="217">
        <f t="shared" si="45"/>
        <v>5.4537483905538454E-2</v>
      </c>
      <c r="J143" s="217">
        <f t="shared" si="45"/>
        <v>7.2129942489483581E-2</v>
      </c>
      <c r="K143" s="217">
        <f t="shared" si="45"/>
        <v>7.6168636030225056E-2</v>
      </c>
      <c r="L143" s="217">
        <f t="shared" si="45"/>
        <v>6.0550510673074417E-2</v>
      </c>
      <c r="M143" s="217">
        <f t="shared" si="45"/>
        <v>4.2821027986105625E-2</v>
      </c>
      <c r="N143" s="217">
        <f t="shared" si="45"/>
        <v>5.2093931535466716E-2</v>
      </c>
      <c r="O143" s="217">
        <f t="shared" si="45"/>
        <v>5.0581499202378422E-2</v>
      </c>
      <c r="P143" s="217">
        <f t="shared" si="45"/>
        <v>5.4412413224062275E-2</v>
      </c>
      <c r="Q143" s="217">
        <f t="shared" si="45"/>
        <v>4.604136493759016E-2</v>
      </c>
      <c r="R143" s="217">
        <f t="shared" si="45"/>
        <v>3.6481332214552631E-2</v>
      </c>
      <c r="S143" s="217">
        <f t="shared" si="45"/>
        <v>4.2748419445560605E-2</v>
      </c>
      <c r="T143" s="217">
        <f t="shared" si="45"/>
        <v>3.6888917348488003E-2</v>
      </c>
      <c r="U143" s="217">
        <f t="shared" ref="U143" si="46">U136/U78</f>
        <v>6.328432201287118E-2</v>
      </c>
      <c r="V143" s="96">
        <f t="shared" si="42"/>
        <v>1.6342426750975303E-2</v>
      </c>
    </row>
    <row r="144" spans="1:23" ht="15" x14ac:dyDescent="0.2">
      <c r="A144" s="39" t="s">
        <v>210</v>
      </c>
      <c r="B144" s="83">
        <f>'Quarterly Data 2001-2021'!F142</f>
        <v>133114370</v>
      </c>
      <c r="C144" s="41">
        <f>'Quarterly Data 2001-2021'!J142</f>
        <v>133114370</v>
      </c>
      <c r="D144" s="41">
        <f>'Quarterly Data 2001-2021'!N142</f>
        <v>133114370</v>
      </c>
      <c r="E144" s="41">
        <f>'Quarterly Data 2001-2021'!R142</f>
        <v>133114370</v>
      </c>
      <c r="F144" s="41">
        <f>'Quarterly Data 2001-2021'!V142</f>
        <v>137328370</v>
      </c>
      <c r="G144" s="41">
        <f>'Quarterly Data 2001-2021'!Z142</f>
        <v>137328370</v>
      </c>
      <c r="H144" s="41">
        <f>'Quarterly Data 2001-2021'!AD142</f>
        <v>135800000</v>
      </c>
      <c r="I144" s="41">
        <f>'Quarterly Data 2001-2021'!AH142</f>
        <v>137888050</v>
      </c>
      <c r="J144" s="41">
        <f>'Quarterly Data 2001-2021'!AL142</f>
        <v>137888050</v>
      </c>
      <c r="K144" s="41">
        <f>'Quarterly Data 2001-2021'!AP142</f>
        <v>139787350</v>
      </c>
      <c r="L144" s="41">
        <f>'Quarterly Data 2001-2021'!AT142</f>
        <v>141312745</v>
      </c>
      <c r="M144" s="41">
        <f>'Quarterly Data 2001-2021'!AX142</f>
        <v>144368735</v>
      </c>
      <c r="N144" s="41">
        <f>'Quarterly Data 2001-2021'!BB142</f>
        <v>144368735</v>
      </c>
      <c r="O144" s="41">
        <f>'Quarterly Data 2001-2021'!BF142</f>
        <v>144368735</v>
      </c>
      <c r="P144" s="41">
        <f>'Quarterly Data 2001-2021'!BJ142</f>
        <v>146720440</v>
      </c>
      <c r="Q144" s="41">
        <f>'Quarterly Data 2001-2021'!BN142</f>
        <v>149194610</v>
      </c>
      <c r="R144" s="41">
        <f>'Quarterly Data 2001-2021'!BR142</f>
        <v>149981110</v>
      </c>
      <c r="S144" s="41">
        <f>+'Quarterly Data 2001-2021'!BV142</f>
        <v>151364980</v>
      </c>
      <c r="T144" s="41">
        <f>+'Quarterly Data 2001-2021'!BZ142</f>
        <v>153786322</v>
      </c>
      <c r="U144" s="41">
        <f>+'Quarterly Data 2001-2021'!CD142</f>
        <v>154954010</v>
      </c>
      <c r="V144" s="46">
        <f t="shared" si="42"/>
        <v>8.0278241745990186E-3</v>
      </c>
    </row>
    <row r="145" spans="1:48" ht="15" x14ac:dyDescent="0.2">
      <c r="A145" s="47" t="s">
        <v>211</v>
      </c>
      <c r="B145" s="53">
        <v>114485675</v>
      </c>
      <c r="C145" s="49">
        <v>133114370</v>
      </c>
      <c r="D145" s="49">
        <v>133114370</v>
      </c>
      <c r="E145" s="49">
        <v>133114370</v>
      </c>
      <c r="F145" s="49">
        <v>136485570</v>
      </c>
      <c r="G145" s="49">
        <v>137328370</v>
      </c>
      <c r="H145" s="49">
        <v>137025000</v>
      </c>
      <c r="I145" s="49">
        <v>136755000</v>
      </c>
      <c r="J145" s="49">
        <v>137888050</v>
      </c>
      <c r="K145" s="49">
        <v>138693105</v>
      </c>
      <c r="L145" s="49">
        <v>141315275</v>
      </c>
      <c r="M145" s="49">
        <v>143327193.03278688</v>
      </c>
      <c r="N145" s="41">
        <v>144368735</v>
      </c>
      <c r="O145" s="41">
        <v>144368735</v>
      </c>
      <c r="P145" s="41">
        <v>145858796.13698629</v>
      </c>
      <c r="Q145" s="41">
        <v>148300714.97267759</v>
      </c>
      <c r="R145" s="41">
        <v>149448718.35616437</v>
      </c>
      <c r="S145" s="42">
        <v>150432154.63013697</v>
      </c>
      <c r="T145" s="42">
        <v>152114600.94794521</v>
      </c>
      <c r="U145" s="42">
        <v>154150028.09836066</v>
      </c>
      <c r="V145" s="96">
        <f t="shared" si="42"/>
        <v>1.5779872512645898E-2</v>
      </c>
    </row>
    <row r="146" spans="1:48" ht="15" x14ac:dyDescent="0.2">
      <c r="A146" s="112" t="s">
        <v>212</v>
      </c>
      <c r="B146" s="218">
        <v>114735050</v>
      </c>
      <c r="C146" s="114">
        <v>133517520</v>
      </c>
      <c r="D146" s="114">
        <v>134011870</v>
      </c>
      <c r="E146" s="114">
        <v>135541415</v>
      </c>
      <c r="F146" s="114">
        <v>137204960</v>
      </c>
      <c r="G146" s="114">
        <v>138185545</v>
      </c>
      <c r="H146" s="114">
        <v>138050000</v>
      </c>
      <c r="I146" s="114">
        <v>137405000</v>
      </c>
      <c r="J146" s="114">
        <v>138275000</v>
      </c>
      <c r="K146" s="114">
        <v>140886075</v>
      </c>
      <c r="L146" s="114">
        <v>142364460</v>
      </c>
      <c r="M146" s="114">
        <v>143327193.03278688</v>
      </c>
      <c r="N146" s="114">
        <v>144368735</v>
      </c>
      <c r="O146" s="114">
        <v>145696417.55459028</v>
      </c>
      <c r="P146" s="115">
        <v>147206402.84316832</v>
      </c>
      <c r="Q146" s="115">
        <v>148408693.52709058</v>
      </c>
      <c r="R146" s="115">
        <v>149448718.35616437</v>
      </c>
      <c r="S146" s="115">
        <v>150827418.5019708</v>
      </c>
      <c r="T146" s="115">
        <v>152114600.94794521</v>
      </c>
      <c r="U146" s="115">
        <v>155581076.79044038</v>
      </c>
      <c r="V146" s="117">
        <f t="shared" si="42"/>
        <v>1.6157641884974483E-2</v>
      </c>
    </row>
    <row r="147" spans="1:48" s="31" customFormat="1" x14ac:dyDescent="0.2">
      <c r="A147" s="70"/>
      <c r="B147" s="238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239"/>
      <c r="Q147" s="239"/>
      <c r="R147" s="239"/>
      <c r="S147" s="239"/>
      <c r="T147" s="239"/>
      <c r="U147" s="239"/>
      <c r="V147" s="240"/>
      <c r="W147" s="421"/>
      <c r="X147" s="421"/>
      <c r="Y147" s="421"/>
      <c r="Z147" s="421"/>
      <c r="AA147" s="421"/>
      <c r="AB147" s="421"/>
      <c r="AC147" s="421"/>
      <c r="AD147" s="421"/>
      <c r="AE147" s="421"/>
      <c r="AF147" s="421"/>
      <c r="AG147" s="421"/>
      <c r="AH147" s="421"/>
      <c r="AI147" s="421"/>
      <c r="AJ147" s="421"/>
      <c r="AK147" s="421"/>
      <c r="AL147" s="421"/>
      <c r="AM147" s="421"/>
      <c r="AN147" s="421"/>
      <c r="AO147" s="421"/>
      <c r="AP147" s="421"/>
      <c r="AQ147" s="421"/>
      <c r="AR147" s="421"/>
      <c r="AS147" s="421"/>
      <c r="AT147" s="421"/>
      <c r="AU147" s="421"/>
      <c r="AV147" s="421"/>
    </row>
    <row r="148" spans="1:48" x14ac:dyDescent="0.2">
      <c r="A148" s="304" t="s">
        <v>164</v>
      </c>
      <c r="B148" s="222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23"/>
      <c r="Q148" s="223"/>
      <c r="R148" s="223"/>
      <c r="S148" s="241"/>
      <c r="T148" s="239"/>
      <c r="U148" s="239"/>
      <c r="V148" s="240"/>
    </row>
    <row r="149" spans="1:48" x14ac:dyDescent="0.2">
      <c r="A149" s="39" t="s">
        <v>173</v>
      </c>
      <c r="B149" s="237">
        <f>SUM('Quarterly Data 2001-2021'!C147:F147)/4</f>
        <v>5.5449999999999999E-2</v>
      </c>
      <c r="C149" s="217">
        <f>SUM('Quarterly Data 2001-2021'!G147:J147)/4</f>
        <v>5.1850000000000007E-2</v>
      </c>
      <c r="D149" s="217">
        <f>SUM('Quarterly Data 2001-2021'!K147:N147)/4</f>
        <v>6.7824999999999996E-2</v>
      </c>
      <c r="E149" s="217">
        <f>SUM('Quarterly Data 2001-2021'!O147:R147)/4</f>
        <v>8.3374999999999991E-2</v>
      </c>
      <c r="F149" s="217">
        <f>SUM('Quarterly Data 2001-2021'!S147:V147)/4</f>
        <v>9.4799999999999995E-2</v>
      </c>
      <c r="G149" s="217">
        <f>SUM('Quarterly Data 2001-2021'!W147:Z147)/4</f>
        <v>0.10010000000000001</v>
      </c>
      <c r="H149" s="217">
        <f>SUM('Quarterly Data 2001-2021'!AA147:AD147)/4</f>
        <v>8.4750000000000006E-2</v>
      </c>
      <c r="I149" s="217">
        <f>SUM('Quarterly Data 2001-2021'!AE147:AH147)/4</f>
        <v>8.9749999999999996E-2</v>
      </c>
      <c r="J149" s="217">
        <f>SUM('Quarterly Data 2001-2021'!AI147:AL147)/4</f>
        <v>0.11674999999999999</v>
      </c>
      <c r="K149" s="217">
        <f>SUM('Quarterly Data 2001-2021'!AM147:AP147)/4</f>
        <v>9.1249999999999998E-2</v>
      </c>
      <c r="L149" s="217">
        <f>SUM('Quarterly Data 2001-2021'!AQ147:AT147)/4</f>
        <v>7.0999999999999994E-2</v>
      </c>
      <c r="M149" s="217">
        <f>SUM('Quarterly Data 2001-2021'!AU147:AX147)/4</f>
        <v>6.3500000000000001E-2</v>
      </c>
      <c r="N149" s="217">
        <f>SUM('Quarterly Data 2001-2021'!AY147:BB147)/4</f>
        <v>7.325000000000001E-2</v>
      </c>
      <c r="O149" s="217">
        <f>SUM('Quarterly Data 2001-2021'!BC147:BF147)/4</f>
        <v>7.5999999999999998E-2</v>
      </c>
      <c r="P149" s="217">
        <f>SUM('Quarterly Data 2001-2021'!BG147:BJ147)/4</f>
        <v>0.10926856429891302</v>
      </c>
      <c r="Q149" s="217">
        <f>SUM('Quarterly Data 2001-2021'!BK147:BN147)/4</f>
        <v>0.13523517367736637</v>
      </c>
      <c r="R149" s="217">
        <f>SUM('Quarterly Data 2001-2021'!BO147:BR147)/4</f>
        <v>0.14163224756659443</v>
      </c>
      <c r="S149" s="217">
        <v>0.11899999999999999</v>
      </c>
      <c r="T149" s="217">
        <v>0.13700000000000001</v>
      </c>
      <c r="U149" s="217">
        <v>0.18099999999999999</v>
      </c>
      <c r="V149" s="108">
        <f>+((U149/B149)^(1/19))-1</f>
        <v>6.4243229636815613E-2</v>
      </c>
      <c r="W149" s="425"/>
    </row>
    <row r="150" spans="1:48" x14ac:dyDescent="0.2">
      <c r="A150" s="112" t="s">
        <v>174</v>
      </c>
      <c r="B150" s="283">
        <f>SUM('Quarterly Data 2001-2021'!C148:F148)/4</f>
        <v>7.7750000000000007E-3</v>
      </c>
      <c r="C150" s="280">
        <f>SUM('Quarterly Data 2001-2021'!G148:J148)/4</f>
        <v>8.3000000000000001E-3</v>
      </c>
      <c r="D150" s="280">
        <f>SUM('Quarterly Data 2001-2021'!K148:N148)/4</f>
        <v>1.4775E-2</v>
      </c>
      <c r="E150" s="280">
        <f>SUM('Quarterly Data 2001-2021'!O148:R148)/4</f>
        <v>1.635E-2</v>
      </c>
      <c r="F150" s="280">
        <f>SUM('Quarterly Data 2001-2021'!S148:V148)/4</f>
        <v>2.0400000000000001E-2</v>
      </c>
      <c r="G150" s="280">
        <f>SUM('Quarterly Data 2001-2021'!W148:Z148)/4</f>
        <v>2.7E-2</v>
      </c>
      <c r="H150" s="280">
        <f>SUM('Quarterly Data 2001-2021'!AA148:AD148)/4</f>
        <v>2.8300000000000002E-2</v>
      </c>
      <c r="I150" s="280">
        <f>SUM('Quarterly Data 2001-2021'!AE148:AH148)/4</f>
        <v>3.8500000000000006E-2</v>
      </c>
      <c r="J150" s="280">
        <f>SUM('Quarterly Data 2001-2021'!AI148:AL148)/4</f>
        <v>5.6750000000000002E-2</v>
      </c>
      <c r="K150" s="280">
        <f>SUM('Quarterly Data 2001-2021'!AM148:AP148)/4</f>
        <v>5.525E-2</v>
      </c>
      <c r="L150" s="280">
        <f>SUM('Quarterly Data 2001-2021'!AQ148:AT148)/4</f>
        <v>4.5999999999999999E-2</v>
      </c>
      <c r="M150" s="280">
        <f>SUM('Quarterly Data 2001-2021'!AU148:AX148)/4</f>
        <v>4.0999999999999995E-2</v>
      </c>
      <c r="N150" s="280">
        <f>SUM('Quarterly Data 2001-2021'!AY148:BB148)/4</f>
        <v>4.0750000000000001E-2</v>
      </c>
      <c r="O150" s="280">
        <f>SUM('Quarterly Data 2001-2021'!BC148:BF148)/4</f>
        <v>4.2249999999999996E-2</v>
      </c>
      <c r="P150" s="280">
        <f>SUM('Quarterly Data 2001-2021'!BG148:BJ148)/4</f>
        <v>6.3750000000000001E-2</v>
      </c>
      <c r="Q150" s="280">
        <f>SUM('Quarterly Data 2001-2021'!BK148:BN148)/4</f>
        <v>6.7961392744648477E-2</v>
      </c>
      <c r="R150" s="280">
        <f>SUM('Quarterly Data 2001-2021'!BO148:BR148)/4</f>
        <v>5.9082185401227776E-2</v>
      </c>
      <c r="S150" s="280">
        <f>SUM('Quarterly Data 2001-2021'!BS148:BV148)/4</f>
        <v>5.525E-2</v>
      </c>
      <c r="T150" s="280">
        <v>5.3999999999999999E-2</v>
      </c>
      <c r="U150" s="280">
        <v>8.5000000000000006E-2</v>
      </c>
      <c r="V150" s="117">
        <f>+((U150/B150)^(1/19))-1</f>
        <v>0.13414712501160486</v>
      </c>
      <c r="W150" s="425"/>
    </row>
    <row r="151" spans="1:48" x14ac:dyDescent="0.2">
      <c r="A151" s="11"/>
      <c r="B151" s="290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7"/>
      <c r="T151" s="287"/>
      <c r="U151" s="287"/>
      <c r="V151" s="108"/>
    </row>
    <row r="152" spans="1:48" x14ac:dyDescent="0.2">
      <c r="A152" s="39" t="s">
        <v>95</v>
      </c>
      <c r="B152" s="83">
        <f>SUM('Quarterly Data 2001-2021'!C150:F150)</f>
        <v>134412</v>
      </c>
      <c r="C152" s="41">
        <f>SUM('Quarterly Data 2001-2021'!G150:J150)</f>
        <v>136251</v>
      </c>
      <c r="D152" s="41">
        <f>SUM('Quarterly Data 2001-2021'!K150:N150)</f>
        <v>168761</v>
      </c>
      <c r="E152" s="41">
        <f>SUM('Quarterly Data 2001-2021'!O150:R150)</f>
        <v>127658</v>
      </c>
      <c r="F152" s="41">
        <f>SUM('Quarterly Data 2001-2021'!S150:V150)</f>
        <v>168962</v>
      </c>
      <c r="G152" s="41">
        <f>SUM('Quarterly Data 2001-2021'!W150:Z150)</f>
        <v>152333</v>
      </c>
      <c r="H152" s="41">
        <f>SUM('Quarterly Data 2001-2021'!AA150:AD150)</f>
        <v>230265</v>
      </c>
      <c r="I152" s="41">
        <f>SUM('Quarterly Data 2001-2021'!AE150:AH150)</f>
        <v>221684</v>
      </c>
      <c r="J152" s="41">
        <f>SUM('Quarterly Data 2001-2021'!AI150:AL150)</f>
        <v>194485</v>
      </c>
      <c r="K152" s="41">
        <f>SUM('Quarterly Data 2001-2021'!AM150:AP150)</f>
        <v>165157</v>
      </c>
      <c r="L152" s="41">
        <f>SUM('Quarterly Data 2001-2021'!AQ150:AT150)</f>
        <v>137288</v>
      </c>
      <c r="M152" s="41">
        <f>SUM('Quarterly Data 2001-2021'!AU150:AX150)</f>
        <v>194047</v>
      </c>
      <c r="N152" s="41">
        <f>SUM('Quarterly Data 2001-2021'!AY150:BB150)</f>
        <v>200262.43492417817</v>
      </c>
      <c r="O152" s="41">
        <f>SUM('Quarterly Data 2001-2021'!BC150:BF150)</f>
        <v>240624</v>
      </c>
      <c r="P152" s="41">
        <f>SUM('Quarterly Data 2001-2021'!BG150:BJ150)</f>
        <v>284967</v>
      </c>
      <c r="Q152" s="41">
        <f>SUM('Quarterly Data 2001-2021'!BK150:BN150)</f>
        <v>258572</v>
      </c>
      <c r="R152" s="41">
        <f>SUM('Quarterly Data 2001-2021'!BO150:BR150)</f>
        <v>255302</v>
      </c>
      <c r="S152" s="41">
        <f>SUM('Quarterly Data 2001-2021'!BS150:BV150)</f>
        <v>237544</v>
      </c>
      <c r="T152" s="41">
        <f>SUM('Quarterly Data 2001-2021'!BW150:BZ150)</f>
        <v>227126</v>
      </c>
      <c r="U152" s="41">
        <f>SUM('Quarterly Data 2001-2021'!CA150:CD150)</f>
        <v>417139</v>
      </c>
      <c r="V152" s="337" t="s">
        <v>37</v>
      </c>
    </row>
    <row r="153" spans="1:48" ht="15" x14ac:dyDescent="0.2">
      <c r="A153" s="47" t="s">
        <v>225</v>
      </c>
      <c r="B153" s="156" t="s">
        <v>37</v>
      </c>
      <c r="C153" s="153" t="s">
        <v>37</v>
      </c>
      <c r="D153" s="153">
        <f t="shared" ref="D153:U153" si="47">(D70+(D89-C89))/D152</f>
        <v>1.1264462760945953E-2</v>
      </c>
      <c r="E153" s="153">
        <f t="shared" si="47"/>
        <v>3.0579673815977062E-2</v>
      </c>
      <c r="F153" s="153">
        <f t="shared" si="47"/>
        <v>3.9135048117328153E-2</v>
      </c>
      <c r="G153" s="153">
        <f t="shared" si="47"/>
        <v>4.1160267309118842E-2</v>
      </c>
      <c r="H153" s="153">
        <f t="shared" si="47"/>
        <v>2.1774399061950365E-2</v>
      </c>
      <c r="I153" s="153">
        <f t="shared" si="47"/>
        <v>2.5770917161364825E-2</v>
      </c>
      <c r="J153" s="153">
        <f t="shared" si="47"/>
        <v>6.0765611743836288E-2</v>
      </c>
      <c r="K153" s="153">
        <f t="shared" si="47"/>
        <v>6.2377010965323901E-2</v>
      </c>
      <c r="L153" s="153">
        <f t="shared" si="47"/>
        <v>3.7541518559524506E-2</v>
      </c>
      <c r="M153" s="153">
        <f t="shared" si="47"/>
        <v>2.9266105634202025E-2</v>
      </c>
      <c r="N153" s="153">
        <f t="shared" si="47"/>
        <v>5.6540808585928894E-2</v>
      </c>
      <c r="O153" s="153">
        <f t="shared" si="47"/>
        <v>9.1947271440005904E-2</v>
      </c>
      <c r="P153" s="153">
        <f t="shared" si="47"/>
        <v>9.2570339375506711E-2</v>
      </c>
      <c r="Q153" s="153">
        <f t="shared" si="47"/>
        <v>0.10892435320220287</v>
      </c>
      <c r="R153" s="153">
        <f t="shared" si="47"/>
        <v>0.11011184177256737</v>
      </c>
      <c r="S153" s="153">
        <f t="shared" si="47"/>
        <v>0.11949703958968548</v>
      </c>
      <c r="T153" s="153">
        <f t="shared" si="47"/>
        <v>0.15567476452075071</v>
      </c>
      <c r="U153" s="153">
        <f t="shared" si="47"/>
        <v>0.1904598361046318</v>
      </c>
      <c r="V153" s="338" t="s">
        <v>37</v>
      </c>
    </row>
    <row r="154" spans="1:48" x14ac:dyDescent="0.2">
      <c r="A154" s="39" t="s">
        <v>96</v>
      </c>
      <c r="B154" s="83">
        <f>'Quarterly Data 2001-2021'!F153</f>
        <v>2673473</v>
      </c>
      <c r="C154" s="41">
        <f>'Quarterly Data 2001-2021'!J153</f>
        <v>2328033</v>
      </c>
      <c r="D154" s="41">
        <f>'Quarterly Data 2001-2021'!N153</f>
        <v>2606353</v>
      </c>
      <c r="E154" s="41">
        <f>'Quarterly Data 2001-2021'!R153</f>
        <v>2877525</v>
      </c>
      <c r="F154" s="41">
        <f>'Quarterly Data 2001-2021'!V153</f>
        <v>3332584</v>
      </c>
      <c r="G154" s="41">
        <f>'Quarterly Data 2001-2021'!Z153</f>
        <v>3644546</v>
      </c>
      <c r="H154" s="41">
        <f>'Quarterly Data 2001-2021'!AD153</f>
        <v>3750791</v>
      </c>
      <c r="I154" s="41">
        <f>'Quarterly Data 2001-2021'!AH153</f>
        <v>3109426</v>
      </c>
      <c r="J154" s="41">
        <f>'Quarterly Data 2001-2021'!AL153</f>
        <v>3713129</v>
      </c>
      <c r="K154" s="41">
        <f>'Quarterly Data 2001-2021'!AP153</f>
        <v>4357620</v>
      </c>
      <c r="L154" s="41">
        <f>'Quarterly Data 2001-2021'!AT153</f>
        <v>4265777</v>
      </c>
      <c r="M154" s="41">
        <f>'Quarterly Data 2001-2021'!AX153</f>
        <v>5017255.0199999996</v>
      </c>
      <c r="N154" s="41">
        <f>+'Quarterly Data 2001-2021'!BB153</f>
        <v>5320272.1883197799</v>
      </c>
      <c r="O154" s="41">
        <f>+'Quarterly Data 2001-2021'!BF153</f>
        <v>6270705</v>
      </c>
      <c r="P154" s="41">
        <f>+'Quarterly Data 2001-2021'!BJ153</f>
        <v>6792931</v>
      </c>
      <c r="Q154" s="41">
        <f>+'Quarterly Data 2001-2021'!BN153</f>
        <v>7227356</v>
      </c>
      <c r="R154" s="41">
        <f>+'Quarterly Data 2001-2021'!BR153</f>
        <v>7780980</v>
      </c>
      <c r="S154" s="41">
        <f>+'Quarterly Data 2001-2021'!BV153</f>
        <v>7935535</v>
      </c>
      <c r="T154" s="41">
        <f>+'Quarterly Data 2001-2021'!BZ153</f>
        <v>8996380</v>
      </c>
      <c r="U154" s="41">
        <f>+'Quarterly Data 2001-2021'!CD153</f>
        <v>9894279</v>
      </c>
      <c r="V154" s="338" t="s">
        <v>37</v>
      </c>
    </row>
    <row r="155" spans="1:48" x14ac:dyDescent="0.2">
      <c r="A155" s="13" t="s">
        <v>175</v>
      </c>
      <c r="B155" s="248">
        <f>'Quarterly Data 2001-2021'!F154</f>
        <v>3.211702530753069E-3</v>
      </c>
      <c r="C155" s="249">
        <f>'Quarterly Data 2001-2021'!J154</f>
        <v>2.9062732358175335E-3</v>
      </c>
      <c r="D155" s="249">
        <f>'Quarterly Data 2001-2021'!N154</f>
        <v>4.4142907733526505E-3</v>
      </c>
      <c r="E155" s="249">
        <f>'Quarterly Data 2001-2021'!R154</f>
        <v>6.0128061441690342E-3</v>
      </c>
      <c r="F155" s="249">
        <f>'Quarterly Data 2001-2021'!V154</f>
        <v>9.5629997623465756E-3</v>
      </c>
      <c r="G155" s="249">
        <f>'Quarterly Data 2001-2021'!Z154</f>
        <v>1.2491185459039341E-2</v>
      </c>
      <c r="H155" s="249">
        <f>'Quarterly Data 2001-2021'!AD154</f>
        <v>1.2847423383494308E-2</v>
      </c>
      <c r="I155" s="249">
        <f>'Quarterly Data 2001-2021'!AH154</f>
        <v>1.1546215282177481E-2</v>
      </c>
      <c r="J155" s="249">
        <f>'Quarterly Data 2001-2021'!AL154</f>
        <v>1.7350057054306488E-2</v>
      </c>
      <c r="K155" s="249">
        <f>'Quarterly Data 2001-2021'!AP154</f>
        <v>1.9710071093853986E-2</v>
      </c>
      <c r="L155" s="249">
        <f>'Quarterly Data 2001-2021'!AT154</f>
        <v>1.7999534434172251E-2</v>
      </c>
      <c r="M155" s="249">
        <f>'Quarterly Data 2001-2021'!AX154</f>
        <v>1.7672811058346404E-2</v>
      </c>
      <c r="N155" s="249">
        <f>+'Quarterly Data 2001-2021'!BB154</f>
        <v>2.1773510057308609E-2</v>
      </c>
      <c r="O155" s="249">
        <f>+'Quarterly Data 2001-2021'!BF154</f>
        <v>2.348630979179853E-2</v>
      </c>
      <c r="P155" s="249">
        <f>+'Quarterly Data 2001-2021'!BJ154</f>
        <v>2.9175799718691619E-2</v>
      </c>
      <c r="Q155" s="249">
        <f>+'Quarterly Data 2001-2021'!BN154</f>
        <v>3.3088864032711274E-2</v>
      </c>
      <c r="R155" s="249">
        <f>+'Quarterly Data 2001-2021'!BR154</f>
        <v>3.6361872808074583E-2</v>
      </c>
      <c r="S155" s="249">
        <f>+'Quarterly Data 2001-2021'!BV154</f>
        <v>3.7802026434438661E-2</v>
      </c>
      <c r="T155" s="249">
        <f>+'Quarterly Data 2001-2021'!BZ154</f>
        <v>4.5320309221295763E-2</v>
      </c>
      <c r="U155" s="249">
        <f>+'Quarterly Data 2001-2021'!CD154</f>
        <v>5.7660506966401022E-2</v>
      </c>
      <c r="V155" s="339" t="s">
        <v>37</v>
      </c>
    </row>
    <row r="156" spans="1:48" x14ac:dyDescent="0.2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</row>
    <row r="157" spans="1:48" x14ac:dyDescent="0.2">
      <c r="A157" s="305" t="s">
        <v>165</v>
      </c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S157" s="250"/>
      <c r="T157" s="250"/>
      <c r="U157" s="250"/>
      <c r="V157" s="250"/>
    </row>
    <row r="158" spans="1:48" x14ac:dyDescent="0.2">
      <c r="A158" s="314" t="s">
        <v>171</v>
      </c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S158" s="250"/>
      <c r="T158" s="250"/>
      <c r="U158" s="250"/>
      <c r="V158" s="250"/>
    </row>
    <row r="159" spans="1:48" x14ac:dyDescent="0.2">
      <c r="A159" s="313" t="s">
        <v>172</v>
      </c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  <c r="V159" s="250"/>
    </row>
    <row r="160" spans="1:48" ht="15" x14ac:dyDescent="0.2">
      <c r="A160" s="252" t="s">
        <v>196</v>
      </c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S160" s="250"/>
      <c r="T160" s="250"/>
      <c r="U160" s="250"/>
      <c r="V160" s="250"/>
    </row>
    <row r="161" spans="1:22" ht="15" x14ac:dyDescent="0.2">
      <c r="A161" s="252" t="s">
        <v>190</v>
      </c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  <c r="T161" s="250"/>
      <c r="U161" s="250"/>
      <c r="V161" s="250"/>
    </row>
    <row r="162" spans="1:22" ht="15" x14ac:dyDescent="0.2">
      <c r="A162" s="252" t="s">
        <v>235</v>
      </c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  <c r="T162" s="250"/>
      <c r="U162" s="250"/>
      <c r="V162" s="250"/>
    </row>
    <row r="163" spans="1:22" ht="15" x14ac:dyDescent="0.2">
      <c r="A163" s="252" t="s">
        <v>234</v>
      </c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</row>
    <row r="164" spans="1:22" ht="15" x14ac:dyDescent="0.2">
      <c r="A164" s="252" t="s">
        <v>213</v>
      </c>
    </row>
    <row r="165" spans="1:22" ht="15" x14ac:dyDescent="0.2">
      <c r="A165" s="4" t="s">
        <v>214</v>
      </c>
    </row>
    <row r="166" spans="1:22" ht="15" x14ac:dyDescent="0.2">
      <c r="A166" s="4" t="s">
        <v>215</v>
      </c>
    </row>
    <row r="167" spans="1:22" ht="15" x14ac:dyDescent="0.2">
      <c r="A167" s="4" t="s">
        <v>216</v>
      </c>
    </row>
    <row r="168" spans="1:22" ht="15" x14ac:dyDescent="0.2">
      <c r="A168" s="252" t="s">
        <v>236</v>
      </c>
    </row>
  </sheetData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Footer>&amp;R&amp;P (&amp;N)</oddFooter>
  </headerFooter>
  <rowBreaks count="2" manualBreakCount="2">
    <brk id="71" max="16383" man="1"/>
    <brk id="133" max="16383" man="1"/>
  </rowBreaks>
  <ignoredErrors>
    <ignoredError sqref="V14:V16 B9:R10 B12:R16 B11:Q11 V30 V32:V33 V37 B25:R28 B37:R38 B30:M30 S25:S28 B32:R33 R53:S53 B31:N31 P31:R31 S13:T16 B19:R19 B17:J17 B23:K23 T19 L17 B21:R22 T21:T22 B18:K18 M18:O18 T25:T27 C35:R35 B29:N29 P29:R2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Quarterly Data 2001-2021</vt:lpstr>
      <vt:lpstr>Annual Data 2001-2020</vt:lpstr>
      <vt:lpstr>'Annual Data 2001-2020'!Print_Area</vt:lpstr>
      <vt:lpstr>'Quarterly Data 2001-2021'!Print_Area</vt:lpstr>
      <vt:lpstr>'Annual Data 2001-2020'!Print_Titles</vt:lpstr>
      <vt:lpstr>'Quarterly Data 2001-2021'!Print_Titles</vt:lpstr>
    </vt:vector>
  </TitlesOfParts>
  <Company>Bankaktiebolaget Avanza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Samuelsson</dc:creator>
  <cp:lastModifiedBy>Elin Emfeldt</cp:lastModifiedBy>
  <cp:lastPrinted>2021-04-14T14:53:22Z</cp:lastPrinted>
  <dcterms:created xsi:type="dcterms:W3CDTF">2007-08-28T11:03:25Z</dcterms:created>
  <dcterms:modified xsi:type="dcterms:W3CDTF">2021-05-03T15:17:37Z</dcterms:modified>
</cp:coreProperties>
</file>