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G:\Controllermaterial\3. Kvartalsdata\Key Data\"/>
    </mc:Choice>
  </mc:AlternateContent>
  <xr:revisionPtr revIDLastSave="0" documentId="13_ncr:1_{4AC82D39-EBB1-4FD5-8BE1-F72EAC9E44D7}" xr6:coauthVersionLast="47" xr6:coauthVersionMax="47" xr10:uidLastSave="{00000000-0000-0000-0000-000000000000}"/>
  <bookViews>
    <workbookView xWindow="-120" yWindow="-120" windowWidth="29040" windowHeight="15840" xr2:uid="{1C793F10-2CD2-4E5C-9980-07F078A7FE6D}"/>
  </bookViews>
  <sheets>
    <sheet name="Quarterly Data 2001-2021" sheetId="1" r:id="rId1"/>
    <sheet name="Annual Data 2001-2020" sheetId="2" r:id="rId2"/>
  </sheets>
  <definedNames>
    <definedName name="_xlnm.Print_Area" localSheetId="1">'Annual Data 2001-2020'!$K$1:$V$172</definedName>
    <definedName name="_xlnm.Print_Area" localSheetId="0">'Quarterly Data 2001-2021'!$BK$1:$CF$171</definedName>
    <definedName name="_xlnm.Print_Titles" localSheetId="1">'Annual Data 2001-2020'!$A:$A,'Annual Data 2001-2020'!$5:$5</definedName>
    <definedName name="_xlnm.Print_Titles" localSheetId="0">'Quarterly Data 2001-2021'!$A:$A,'Quarterly Data 2001-2021'!$5:$5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64" i="1" l="1"/>
  <c r="CF141" i="1"/>
  <c r="CF122" i="1"/>
  <c r="CF121" i="1"/>
  <c r="CF120" i="1"/>
  <c r="CF119" i="1"/>
  <c r="CF109" i="1" l="1"/>
  <c r="CE108" i="1"/>
  <c r="CF108" i="1"/>
  <c r="CF107" i="1"/>
  <c r="CE28" i="1" l="1"/>
  <c r="CF28" i="1"/>
  <c r="CF25" i="1"/>
  <c r="CD25" i="1"/>
  <c r="CE25" i="1"/>
  <c r="CF20" i="1"/>
  <c r="CE37" i="1"/>
  <c r="CF29" i="1" l="1"/>
  <c r="CF111" i="1"/>
  <c r="CF110" i="1"/>
  <c r="CF144" i="1" l="1"/>
  <c r="CF104" i="1"/>
  <c r="CF97" i="1"/>
  <c r="CF71" i="1"/>
  <c r="CF67" i="1"/>
  <c r="CF37" i="1"/>
  <c r="CF12" i="1"/>
  <c r="CF123" i="1" l="1"/>
  <c r="CF14" i="1"/>
  <c r="CF31" i="1" s="1"/>
  <c r="CF39" i="1" s="1"/>
  <c r="CF136" i="1"/>
  <c r="CF143" i="1"/>
  <c r="CF128" i="1"/>
  <c r="CF73" i="1"/>
  <c r="BK28" i="1"/>
  <c r="BL25" i="1"/>
  <c r="BM25" i="1"/>
  <c r="BN25" i="1"/>
  <c r="BO25" i="1"/>
  <c r="BP25" i="1"/>
  <c r="BQ25" i="1"/>
  <c r="BR25" i="1"/>
  <c r="BS25" i="1"/>
  <c r="BT25" i="1"/>
  <c r="BU25" i="1"/>
  <c r="BV25" i="1"/>
  <c r="BW25" i="1"/>
  <c r="BX25" i="1"/>
  <c r="BY25" i="1"/>
  <c r="BZ25" i="1"/>
  <c r="CA25" i="1"/>
  <c r="CB25" i="1"/>
  <c r="CC25" i="1"/>
  <c r="BK25" i="1"/>
  <c r="BJ28" i="1"/>
  <c r="BO28" i="1"/>
  <c r="BP28" i="1"/>
  <c r="BQ28" i="1"/>
  <c r="BR28" i="1"/>
  <c r="BS28" i="1"/>
  <c r="BT28" i="1"/>
  <c r="BU28" i="1"/>
  <c r="BV28" i="1"/>
  <c r="BW28" i="1"/>
  <c r="BX28" i="1"/>
  <c r="BY28" i="1"/>
  <c r="BZ28" i="1"/>
  <c r="CA28" i="1"/>
  <c r="CB28" i="1"/>
  <c r="CC28" i="1"/>
  <c r="CD28" i="1"/>
  <c r="BL28" i="1"/>
  <c r="BM28" i="1"/>
  <c r="BN28" i="1"/>
  <c r="U21" i="2"/>
  <c r="CE122" i="1"/>
  <c r="CF135" i="1" l="1"/>
  <c r="CE107" i="1"/>
  <c r="CF54" i="1" l="1"/>
  <c r="CF44" i="1"/>
  <c r="CF43" i="1"/>
  <c r="CF127" i="1"/>
  <c r="CF72" i="1"/>
  <c r="BL121" i="1"/>
  <c r="BM121" i="1"/>
  <c r="BN121" i="1"/>
  <c r="BO121" i="1"/>
  <c r="BP121" i="1"/>
  <c r="BQ121" i="1"/>
  <c r="BR121" i="1"/>
  <c r="BS121" i="1"/>
  <c r="BT121" i="1"/>
  <c r="BU121" i="1"/>
  <c r="BV121" i="1"/>
  <c r="BW121" i="1"/>
  <c r="BX121" i="1"/>
  <c r="BY121" i="1"/>
  <c r="BZ121" i="1"/>
  <c r="CA121" i="1"/>
  <c r="CB121" i="1"/>
  <c r="CC121" i="1"/>
  <c r="CD121" i="1"/>
  <c r="CE121" i="1"/>
  <c r="BK121" i="1"/>
  <c r="CF74" i="1" l="1"/>
  <c r="CF52" i="1"/>
  <c r="CF49" i="1"/>
  <c r="CF137" i="1"/>
  <c r="CF47" i="1"/>
  <c r="CF57" i="1" s="1"/>
  <c r="CF129" i="1"/>
  <c r="U162" i="2"/>
  <c r="U161" i="2"/>
  <c r="U159" i="2"/>
  <c r="CF53" i="1" l="1"/>
  <c r="CF55" i="1"/>
  <c r="CF56" i="1"/>
  <c r="B42" i="2"/>
  <c r="C42" i="2"/>
  <c r="D42" i="2"/>
  <c r="E42" i="2"/>
  <c r="F42" i="2"/>
  <c r="G42" i="2"/>
  <c r="H42" i="2"/>
  <c r="I42" i="2"/>
  <c r="J42" i="2"/>
  <c r="K42" i="2"/>
  <c r="L42" i="2"/>
  <c r="M42" i="2"/>
  <c r="N42" i="2"/>
  <c r="O42" i="2"/>
  <c r="P42" i="2"/>
  <c r="Q42" i="2"/>
  <c r="R42" i="2"/>
  <c r="S42" i="2"/>
  <c r="T42" i="2"/>
  <c r="U42" i="2"/>
  <c r="U41" i="2"/>
  <c r="T41" i="2"/>
  <c r="S41" i="2"/>
  <c r="R41" i="2"/>
  <c r="Q41" i="2"/>
  <c r="P41" i="2"/>
  <c r="O41" i="2"/>
  <c r="N41" i="2"/>
  <c r="M41" i="2"/>
  <c r="L41" i="2"/>
  <c r="K41" i="2"/>
  <c r="J41" i="2"/>
  <c r="I41" i="2"/>
  <c r="H41" i="2"/>
  <c r="G41" i="2"/>
  <c r="F41" i="2"/>
  <c r="E41" i="2"/>
  <c r="D41" i="2"/>
  <c r="C41" i="2"/>
  <c r="B41" i="2"/>
  <c r="P26" i="2"/>
  <c r="P25" i="2"/>
  <c r="M27" i="2"/>
  <c r="L27" i="2"/>
  <c r="L26" i="2"/>
  <c r="N26" i="2"/>
  <c r="N27" i="2"/>
  <c r="O27" i="2"/>
  <c r="O26" i="2"/>
  <c r="Q26" i="2"/>
  <c r="R26" i="2"/>
  <c r="S26" i="2"/>
  <c r="T26" i="2"/>
  <c r="U19" i="2"/>
  <c r="T19" i="2"/>
  <c r="S19" i="2"/>
  <c r="R19" i="2"/>
  <c r="Q19" i="2"/>
  <c r="C28" i="1" l="1"/>
  <c r="K18" i="2" l="1"/>
  <c r="V141" i="2" l="1"/>
  <c r="V147" i="2"/>
  <c r="V148" i="2"/>
  <c r="C89" i="2"/>
  <c r="D89" i="2"/>
  <c r="E89" i="2"/>
  <c r="F89" i="2"/>
  <c r="G89" i="2"/>
  <c r="H89" i="2"/>
  <c r="I89" i="2"/>
  <c r="J89" i="2"/>
  <c r="K89" i="2"/>
  <c r="L89" i="2"/>
  <c r="M89" i="2"/>
  <c r="N89" i="2"/>
  <c r="O89" i="2"/>
  <c r="P89" i="2"/>
  <c r="Q89" i="2"/>
  <c r="R89" i="2"/>
  <c r="S89" i="2"/>
  <c r="T89" i="2"/>
  <c r="U89" i="2"/>
  <c r="V89" i="2" l="1"/>
  <c r="V46" i="2"/>
  <c r="V17" i="2"/>
  <c r="V11" i="2"/>
  <c r="V10" i="2"/>
  <c r="T161" i="2"/>
  <c r="S161" i="2"/>
  <c r="R161" i="2"/>
  <c r="Q161" i="2"/>
  <c r="P161" i="2"/>
  <c r="O161" i="2"/>
  <c r="N161" i="2"/>
  <c r="M161" i="2"/>
  <c r="L161" i="2"/>
  <c r="K161" i="2"/>
  <c r="J161" i="2"/>
  <c r="I161" i="2"/>
  <c r="H161" i="2"/>
  <c r="G161" i="2"/>
  <c r="F161" i="2"/>
  <c r="E161" i="2"/>
  <c r="D161" i="2"/>
  <c r="C161" i="2"/>
  <c r="B161" i="2"/>
  <c r="T159" i="2"/>
  <c r="S159" i="2"/>
  <c r="R159" i="2"/>
  <c r="Q159" i="2"/>
  <c r="P159" i="2"/>
  <c r="O159" i="2"/>
  <c r="N159" i="2"/>
  <c r="M159" i="2"/>
  <c r="L159" i="2"/>
  <c r="K159" i="2"/>
  <c r="J159" i="2"/>
  <c r="I159" i="2"/>
  <c r="H159" i="2"/>
  <c r="G159" i="2"/>
  <c r="F159" i="2"/>
  <c r="E159" i="2"/>
  <c r="D159" i="2"/>
  <c r="C159" i="2"/>
  <c r="B159" i="2"/>
  <c r="U160" i="2"/>
  <c r="T160" i="2"/>
  <c r="S160" i="2"/>
  <c r="R160" i="2"/>
  <c r="Q160" i="2"/>
  <c r="P160" i="2"/>
  <c r="O160" i="2"/>
  <c r="N160" i="2"/>
  <c r="M160" i="2"/>
  <c r="L160" i="2"/>
  <c r="K160" i="2"/>
  <c r="J160" i="2"/>
  <c r="I160" i="2"/>
  <c r="H160" i="2"/>
  <c r="G160" i="2"/>
  <c r="F160" i="2"/>
  <c r="E160" i="2"/>
  <c r="D160" i="2"/>
  <c r="C160" i="2"/>
  <c r="B160" i="2"/>
  <c r="Q114" i="2"/>
  <c r="R114" i="2"/>
  <c r="S114" i="2"/>
  <c r="T114" i="2"/>
  <c r="U114" i="2"/>
  <c r="AO107" i="1"/>
  <c r="AN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E107" i="1"/>
  <c r="D107" i="1"/>
  <c r="C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BY107" i="1"/>
  <c r="BZ107" i="1"/>
  <c r="CA107" i="1"/>
  <c r="CB107" i="1"/>
  <c r="CC107" i="1"/>
  <c r="CD108" i="1"/>
  <c r="CD107" i="1"/>
  <c r="J61" i="2"/>
  <c r="J62" i="2"/>
  <c r="J63" i="2"/>
  <c r="J64" i="2"/>
  <c r="J60" i="2"/>
  <c r="B64" i="2"/>
  <c r="C64" i="2"/>
  <c r="D64" i="2"/>
  <c r="E64" i="2"/>
  <c r="F64" i="2"/>
  <c r="G64" i="2"/>
  <c r="H64" i="2"/>
  <c r="I64" i="2"/>
  <c r="K64" i="2"/>
  <c r="L64" i="2"/>
  <c r="M64" i="2"/>
  <c r="N64" i="2"/>
  <c r="O64" i="2"/>
  <c r="P64" i="2"/>
  <c r="Q64"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R61" i="2"/>
  <c r="R62" i="2"/>
  <c r="R63" i="2"/>
  <c r="R64" i="2"/>
  <c r="S61" i="2"/>
  <c r="S62" i="2"/>
  <c r="S63" i="2"/>
  <c r="S64" i="2"/>
  <c r="T61" i="2"/>
  <c r="T62" i="2"/>
  <c r="T63" i="2"/>
  <c r="T64" i="2"/>
  <c r="U61" i="2"/>
  <c r="U62" i="2"/>
  <c r="U63" i="2"/>
  <c r="U64" i="2"/>
  <c r="B139" i="2"/>
  <c r="C139" i="2"/>
  <c r="D139" i="2"/>
  <c r="E139" i="2"/>
  <c r="F139" i="2"/>
  <c r="G139" i="2"/>
  <c r="H139" i="2"/>
  <c r="I139" i="2"/>
  <c r="J139" i="2"/>
  <c r="K139" i="2"/>
  <c r="L139" i="2"/>
  <c r="M139" i="2"/>
  <c r="N139" i="2"/>
  <c r="O139" i="2"/>
  <c r="P139" i="2"/>
  <c r="Q139" i="2"/>
  <c r="R139" i="2"/>
  <c r="S139" i="2"/>
  <c r="T139" i="2"/>
  <c r="U139" i="2"/>
  <c r="V139" i="2" l="1"/>
  <c r="U12" i="2"/>
  <c r="P27" i="2" l="1"/>
  <c r="P28" i="2" s="1"/>
  <c r="O25" i="2"/>
  <c r="O28" i="2" s="1"/>
  <c r="N25" i="2"/>
  <c r="M25" i="2"/>
  <c r="L25" i="2"/>
  <c r="P19" i="2"/>
  <c r="V19" i="2" s="1"/>
  <c r="O19" i="2"/>
  <c r="N19" i="2"/>
  <c r="M19" i="2"/>
  <c r="L19" i="2"/>
  <c r="P18" i="2"/>
  <c r="O18" i="2"/>
  <c r="N18" i="2"/>
  <c r="M18" i="2"/>
  <c r="L18" i="2"/>
  <c r="K27" i="2"/>
  <c r="J27" i="2"/>
  <c r="I27" i="2"/>
  <c r="K26" i="2"/>
  <c r="J26" i="2"/>
  <c r="I26" i="2"/>
  <c r="K25" i="2"/>
  <c r="J25" i="2"/>
  <c r="K19" i="2"/>
  <c r="J19" i="2"/>
  <c r="J18" i="2"/>
  <c r="H27" i="2"/>
  <c r="G27" i="2"/>
  <c r="F27" i="2"/>
  <c r="H26" i="2"/>
  <c r="G26" i="2"/>
  <c r="F26" i="2"/>
  <c r="I25" i="2"/>
  <c r="H25" i="2"/>
  <c r="G25" i="2"/>
  <c r="F25" i="2"/>
  <c r="G28" i="2" l="1"/>
  <c r="F28" i="2"/>
  <c r="M28" i="2"/>
  <c r="H28" i="2"/>
  <c r="I28" i="2"/>
  <c r="J28" i="2"/>
  <c r="K28" i="2"/>
  <c r="I19" i="2"/>
  <c r="H19" i="2"/>
  <c r="G19" i="2"/>
  <c r="F19" i="2"/>
  <c r="I18" i="2"/>
  <c r="H18" i="2"/>
  <c r="G18" i="2"/>
  <c r="F18" i="2"/>
  <c r="E27" i="2"/>
  <c r="D27" i="2"/>
  <c r="C27" i="2"/>
  <c r="B27" i="2"/>
  <c r="E25" i="2"/>
  <c r="D25" i="2"/>
  <c r="C25" i="2"/>
  <c r="B25" i="2"/>
  <c r="E26" i="2"/>
  <c r="D26" i="2"/>
  <c r="C26" i="2"/>
  <c r="B26" i="2"/>
  <c r="U27" i="2"/>
  <c r="T27" i="2"/>
  <c r="S27" i="2"/>
  <c r="R27" i="2"/>
  <c r="Q27" i="2"/>
  <c r="U26" i="2"/>
  <c r="V26" i="2" s="1"/>
  <c r="U24" i="2"/>
  <c r="T24" i="2"/>
  <c r="S24" i="2"/>
  <c r="R24" i="2"/>
  <c r="Q24" i="2"/>
  <c r="U23" i="2"/>
  <c r="T23" i="2"/>
  <c r="S23" i="2"/>
  <c r="R23" i="2"/>
  <c r="Q23" i="2"/>
  <c r="CE154" i="1"/>
  <c r="B28" i="2" l="1"/>
  <c r="D28" i="2"/>
  <c r="C28" i="2"/>
  <c r="E28" i="2"/>
  <c r="G20" i="2"/>
  <c r="U13" i="2"/>
  <c r="T13" i="2"/>
  <c r="S13" i="2"/>
  <c r="R13" i="2"/>
  <c r="Q13" i="2"/>
  <c r="Q12" i="2"/>
  <c r="N28" i="2"/>
  <c r="L28" i="2"/>
  <c r="BZ154" i="1"/>
  <c r="BS20" i="1" l="1"/>
  <c r="BS29" i="1" s="1"/>
  <c r="BT20" i="1"/>
  <c r="BU20" i="1"/>
  <c r="BV20" i="1"/>
  <c r="Q25" i="2" l="1"/>
  <c r="BU29" i="1"/>
  <c r="BT29" i="1"/>
  <c r="BV29" i="1"/>
  <c r="S25" i="2"/>
  <c r="T25" i="2"/>
  <c r="R25" i="2"/>
  <c r="U25" i="2"/>
  <c r="V25" i="2" s="1"/>
  <c r="AX118" i="1" l="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CA120" i="1"/>
  <c r="CB120" i="1"/>
  <c r="CC120" i="1"/>
  <c r="CE120" i="1"/>
  <c r="CD120" i="1"/>
  <c r="BK119" i="1"/>
  <c r="BL119" i="1"/>
  <c r="BM119" i="1"/>
  <c r="BN119" i="1"/>
  <c r="BO119" i="1"/>
  <c r="BP119" i="1"/>
  <c r="BQ119" i="1"/>
  <c r="BR119" i="1"/>
  <c r="BS119" i="1"/>
  <c r="BT119" i="1"/>
  <c r="BU119" i="1"/>
  <c r="BV119" i="1"/>
  <c r="BW119" i="1"/>
  <c r="BX119" i="1"/>
  <c r="BY119" i="1"/>
  <c r="BZ119" i="1"/>
  <c r="CA119" i="1"/>
  <c r="CB119" i="1"/>
  <c r="CC119" i="1"/>
  <c r="CD119" i="1"/>
  <c r="CE119" i="1"/>
  <c r="BG14"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W20" i="1"/>
  <c r="BW29" i="1" s="1"/>
  <c r="CD141" i="1"/>
  <c r="CD144" i="1" s="1"/>
  <c r="CE141" i="1"/>
  <c r="CE143" i="1" s="1"/>
  <c r="CD143" i="1" l="1"/>
  <c r="CE144" i="1"/>
  <c r="BX122" i="1"/>
  <c r="CE71" i="1" l="1"/>
  <c r="CD67" i="1"/>
  <c r="CE67" i="1"/>
  <c r="CD71" i="1"/>
  <c r="CE155" i="1"/>
  <c r="CE157" i="1"/>
  <c r="CD37" i="1" l="1"/>
  <c r="CD73" i="1" s="1"/>
  <c r="CE73" i="1" l="1"/>
  <c r="CE111" i="1"/>
  <c r="CE110" i="1"/>
  <c r="U154" i="2" l="1"/>
  <c r="CE109" i="1"/>
  <c r="CE104" i="1"/>
  <c r="CE97" i="1"/>
  <c r="CE136" i="1"/>
  <c r="CE20" i="1"/>
  <c r="CE29" i="1" s="1"/>
  <c r="CE12" i="1"/>
  <c r="CE14" i="1" s="1"/>
  <c r="CD157" i="1"/>
  <c r="CD155" i="1"/>
  <c r="CD154" i="1"/>
  <c r="CE123" i="1" l="1"/>
  <c r="CE128" i="1"/>
  <c r="CA12" i="1"/>
  <c r="T12" i="2"/>
  <c r="CB20" i="1"/>
  <c r="CB29" i="1" s="1"/>
  <c r="CA20" i="1"/>
  <c r="CA29" i="1" s="1"/>
  <c r="BZ20" i="1"/>
  <c r="BZ29" i="1" s="1"/>
  <c r="BS47" i="1"/>
  <c r="BT47" i="1"/>
  <c r="CB37" i="1"/>
  <c r="CC37" i="1"/>
  <c r="CD20" i="1"/>
  <c r="CD29" i="1" s="1"/>
  <c r="CD12" i="1"/>
  <c r="CD14" i="1" s="1"/>
  <c r="CE31" i="1" l="1"/>
  <c r="CE44" i="1" s="1"/>
  <c r="CA14" i="1"/>
  <c r="CA31" i="1" s="1"/>
  <c r="CE54" i="1" l="1"/>
  <c r="CD31" i="1"/>
  <c r="CD44" i="1" s="1"/>
  <c r="U18" i="2" l="1"/>
  <c r="U22" i="2"/>
  <c r="U14" i="2"/>
  <c r="U28" i="2" l="1"/>
  <c r="V28" i="2" s="1"/>
  <c r="U20" i="2"/>
  <c r="V18" i="2"/>
  <c r="U29" i="2" l="1"/>
  <c r="CD111" i="1"/>
  <c r="CD110" i="1"/>
  <c r="U31" i="2" l="1"/>
  <c r="U126" i="2" s="1"/>
  <c r="U156" i="2"/>
  <c r="U146" i="2"/>
  <c r="U133" i="2"/>
  <c r="U132" i="2"/>
  <c r="U102" i="2"/>
  <c r="U101" i="2"/>
  <c r="U100" i="2"/>
  <c r="U99" i="2"/>
  <c r="U95" i="2"/>
  <c r="U94" i="2"/>
  <c r="U93" i="2"/>
  <c r="U90" i="2"/>
  <c r="U88" i="2"/>
  <c r="U86" i="2"/>
  <c r="U85" i="2"/>
  <c r="U84" i="2"/>
  <c r="U83" i="2"/>
  <c r="U68" i="2"/>
  <c r="U60" i="2"/>
  <c r="U116" i="2"/>
  <c r="U121" i="2" s="1"/>
  <c r="U115" i="2"/>
  <c r="U113" i="2"/>
  <c r="U123" i="2"/>
  <c r="U122" i="2" s="1"/>
  <c r="U79" i="2"/>
  <c r="U78" i="2"/>
  <c r="U77" i="2"/>
  <c r="U76" i="2"/>
  <c r="U36" i="2"/>
  <c r="U35" i="2"/>
  <c r="U34" i="2"/>
  <c r="U33" i="2"/>
  <c r="U157" i="2"/>
  <c r="CD122" i="1"/>
  <c r="CD109" i="1"/>
  <c r="CD104" i="1"/>
  <c r="U103" i="2" s="1"/>
  <c r="CD97" i="1"/>
  <c r="U82" i="2"/>
  <c r="CD123" i="1"/>
  <c r="U106" i="2" l="1"/>
  <c r="U134" i="2"/>
  <c r="U71" i="2"/>
  <c r="U118" i="2"/>
  <c r="U119" i="2"/>
  <c r="U108" i="2"/>
  <c r="U140" i="2"/>
  <c r="U87" i="2"/>
  <c r="U107" i="2" s="1"/>
  <c r="U37" i="2"/>
  <c r="CD136" i="1"/>
  <c r="CD128" i="1"/>
  <c r="U142" i="2"/>
  <c r="U96" i="2"/>
  <c r="T18" i="2"/>
  <c r="T20" i="2" s="1"/>
  <c r="S18" i="2"/>
  <c r="S20" i="2" s="1"/>
  <c r="R18" i="2"/>
  <c r="R20" i="2" s="1"/>
  <c r="Q18" i="2"/>
  <c r="Q20" i="2" s="1"/>
  <c r="AQ20" i="1"/>
  <c r="AQ29" i="1" s="1"/>
  <c r="AR20" i="1"/>
  <c r="AR29" i="1" s="1"/>
  <c r="AS20" i="1"/>
  <c r="AS29" i="1" s="1"/>
  <c r="AT20" i="1"/>
  <c r="AT29" i="1" s="1"/>
  <c r="AU20" i="1"/>
  <c r="AU29" i="1" s="1"/>
  <c r="AV20" i="1"/>
  <c r="AV29" i="1" s="1"/>
  <c r="AW20" i="1"/>
  <c r="AW29" i="1" s="1"/>
  <c r="AX20" i="1"/>
  <c r="AX29" i="1" s="1"/>
  <c r="AY20" i="1"/>
  <c r="AY29" i="1" s="1"/>
  <c r="AZ20" i="1"/>
  <c r="AZ29" i="1" s="1"/>
  <c r="BA20" i="1"/>
  <c r="BA29" i="1" s="1"/>
  <c r="BB20" i="1"/>
  <c r="BB29" i="1" s="1"/>
  <c r="BC20" i="1"/>
  <c r="BC29" i="1" s="1"/>
  <c r="BD20" i="1"/>
  <c r="BD29" i="1" s="1"/>
  <c r="BE20" i="1"/>
  <c r="BE29" i="1" s="1"/>
  <c r="BF20" i="1"/>
  <c r="BF29" i="1" s="1"/>
  <c r="BG20" i="1"/>
  <c r="BG29" i="1" s="1"/>
  <c r="BH20" i="1"/>
  <c r="BH29" i="1" s="1"/>
  <c r="BI20" i="1"/>
  <c r="BI29" i="1" s="1"/>
  <c r="BJ20" i="1"/>
  <c r="BJ29" i="1" s="1"/>
  <c r="BK20" i="1"/>
  <c r="BK29" i="1" s="1"/>
  <c r="BL20" i="1"/>
  <c r="BL29" i="1" s="1"/>
  <c r="BM20" i="1"/>
  <c r="BM29" i="1" s="1"/>
  <c r="BN20" i="1"/>
  <c r="BN29" i="1" s="1"/>
  <c r="BO20" i="1"/>
  <c r="BO29" i="1" s="1"/>
  <c r="BP20" i="1"/>
  <c r="BP29" i="1" s="1"/>
  <c r="BQ20" i="1"/>
  <c r="BQ29" i="1" s="1"/>
  <c r="BR20" i="1"/>
  <c r="BR29" i="1" s="1"/>
  <c r="BX20" i="1"/>
  <c r="BX29" i="1" s="1"/>
  <c r="BY20" i="1"/>
  <c r="BY29" i="1" s="1"/>
  <c r="CC20" i="1"/>
  <c r="CC29" i="1" s="1"/>
  <c r="C20" i="1"/>
  <c r="C29" i="1" s="1"/>
  <c r="D20" i="1"/>
  <c r="D29" i="1" s="1"/>
  <c r="E20" i="1"/>
  <c r="E29" i="1" s="1"/>
  <c r="F20" i="1"/>
  <c r="F29" i="1" s="1"/>
  <c r="G20" i="1"/>
  <c r="G29" i="1" s="1"/>
  <c r="H20" i="1"/>
  <c r="H29" i="1" s="1"/>
  <c r="I20" i="1"/>
  <c r="I29" i="1" s="1"/>
  <c r="J20" i="1"/>
  <c r="J29" i="1" s="1"/>
  <c r="K20" i="1"/>
  <c r="K29" i="1" s="1"/>
  <c r="L20" i="1"/>
  <c r="L29" i="1" s="1"/>
  <c r="M20" i="1"/>
  <c r="M29" i="1" s="1"/>
  <c r="N20" i="1"/>
  <c r="N29" i="1" s="1"/>
  <c r="O20" i="1"/>
  <c r="O29" i="1" s="1"/>
  <c r="P20" i="1"/>
  <c r="P29" i="1" s="1"/>
  <c r="Q20" i="1"/>
  <c r="Q29" i="1" s="1"/>
  <c r="R20" i="1"/>
  <c r="R29" i="1" s="1"/>
  <c r="S20" i="1"/>
  <c r="S29" i="1" s="1"/>
  <c r="T20" i="1"/>
  <c r="T29" i="1" s="1"/>
  <c r="U20" i="1"/>
  <c r="U29" i="1" s="1"/>
  <c r="V20" i="1"/>
  <c r="V29" i="1" s="1"/>
  <c r="W20" i="1"/>
  <c r="W29" i="1" s="1"/>
  <c r="X20" i="1"/>
  <c r="X29" i="1" s="1"/>
  <c r="Y20" i="1"/>
  <c r="Y29" i="1" s="1"/>
  <c r="Z20" i="1"/>
  <c r="Z29" i="1" s="1"/>
  <c r="AA20" i="1"/>
  <c r="AA29" i="1" s="1"/>
  <c r="AB20" i="1"/>
  <c r="AB29" i="1" s="1"/>
  <c r="AC20" i="1"/>
  <c r="AC29" i="1" s="1"/>
  <c r="AD20" i="1"/>
  <c r="AD29" i="1" s="1"/>
  <c r="AE20" i="1"/>
  <c r="AE29" i="1" s="1"/>
  <c r="AF20" i="1"/>
  <c r="AF29" i="1" s="1"/>
  <c r="AG20" i="1"/>
  <c r="AG29" i="1" s="1"/>
  <c r="AH20" i="1"/>
  <c r="AH29" i="1" s="1"/>
  <c r="AI20" i="1"/>
  <c r="AI29" i="1" s="1"/>
  <c r="AJ20" i="1"/>
  <c r="AJ29" i="1" s="1"/>
  <c r="AK20" i="1"/>
  <c r="AK29" i="1" s="1"/>
  <c r="AL20" i="1"/>
  <c r="AL29" i="1" s="1"/>
  <c r="AM20" i="1"/>
  <c r="AM29" i="1" s="1"/>
  <c r="AN20" i="1"/>
  <c r="AN29" i="1" s="1"/>
  <c r="AO20" i="1"/>
  <c r="AO29" i="1" s="1"/>
  <c r="AP20" i="1"/>
  <c r="AP29" i="1" s="1"/>
  <c r="CC157" i="1"/>
  <c r="CC155" i="1"/>
  <c r="CC154" i="1"/>
  <c r="CC122" i="1"/>
  <c r="CB110" i="1"/>
  <c r="CC110" i="1"/>
  <c r="CC109" i="1"/>
  <c r="CC108" i="1"/>
  <c r="CC71" i="1"/>
  <c r="CC111" i="1"/>
  <c r="CC141" i="1"/>
  <c r="CC144" i="1" s="1"/>
  <c r="CC104" i="1"/>
  <c r="CC97" i="1"/>
  <c r="CC83" i="1"/>
  <c r="CC67" i="1"/>
  <c r="CC128" i="1"/>
  <c r="CC12" i="1"/>
  <c r="CC14" i="1" s="1"/>
  <c r="CB157" i="1"/>
  <c r="CB155" i="1"/>
  <c r="CB154" i="1"/>
  <c r="CB108" i="1"/>
  <c r="CB71" i="1"/>
  <c r="CB111" i="1"/>
  <c r="CB141" i="1"/>
  <c r="CB143" i="1" s="1"/>
  <c r="CB122" i="1"/>
  <c r="CB109" i="1"/>
  <c r="CB104" i="1"/>
  <c r="CB97" i="1"/>
  <c r="CB83" i="1"/>
  <c r="CB67" i="1"/>
  <c r="CB73" i="1"/>
  <c r="CB12" i="1"/>
  <c r="CA157" i="1"/>
  <c r="BZ157" i="1"/>
  <c r="T157" i="2" s="1"/>
  <c r="CA155" i="1"/>
  <c r="CA154" i="1"/>
  <c r="BX97" i="1"/>
  <c r="BY97" i="1"/>
  <c r="CA111" i="1"/>
  <c r="CA110" i="1"/>
  <c r="CA141" i="1"/>
  <c r="CA144" i="1" s="1"/>
  <c r="CA37" i="1"/>
  <c r="BZ12" i="1"/>
  <c r="BZ14" i="1" s="1"/>
  <c r="BZ31" i="1" s="1"/>
  <c r="BZ37" i="1"/>
  <c r="CA83" i="1"/>
  <c r="BZ83" i="1"/>
  <c r="CA122" i="1"/>
  <c r="CA109" i="1"/>
  <c r="CA108" i="1"/>
  <c r="CA104" i="1"/>
  <c r="CA97" i="1"/>
  <c r="CA71" i="1"/>
  <c r="CA67" i="1"/>
  <c r="T154" i="2"/>
  <c r="T79" i="2"/>
  <c r="T99" i="2"/>
  <c r="T156" i="2"/>
  <c r="BZ155" i="1"/>
  <c r="T133" i="2"/>
  <c r="T60" i="2"/>
  <c r="T142" i="2"/>
  <c r="T146" i="2"/>
  <c r="D142" i="2"/>
  <c r="S33" i="2"/>
  <c r="S34" i="2"/>
  <c r="S35" i="2"/>
  <c r="BV36" i="1"/>
  <c r="S36" i="2" s="1"/>
  <c r="T35" i="2"/>
  <c r="T33" i="2"/>
  <c r="T34" i="2"/>
  <c r="T36" i="2"/>
  <c r="BZ141" i="1"/>
  <c r="BZ143" i="1" s="1"/>
  <c r="O10" i="2"/>
  <c r="O11" i="2"/>
  <c r="O17" i="2"/>
  <c r="O33" i="2"/>
  <c r="O34" i="2"/>
  <c r="O35" i="2"/>
  <c r="O36" i="2"/>
  <c r="BZ110" i="1"/>
  <c r="BZ111" i="1"/>
  <c r="T83" i="2"/>
  <c r="T84" i="2"/>
  <c r="B84" i="2"/>
  <c r="F83" i="1"/>
  <c r="B82" i="2" s="1"/>
  <c r="B83" i="2"/>
  <c r="C84" i="2"/>
  <c r="J83" i="1"/>
  <c r="C82" i="2" s="1"/>
  <c r="C83" i="2"/>
  <c r="D84" i="2"/>
  <c r="N83" i="1"/>
  <c r="D83" i="2"/>
  <c r="E84" i="2"/>
  <c r="R83" i="1"/>
  <c r="E82" i="2" s="1"/>
  <c r="E83" i="2"/>
  <c r="F84" i="2"/>
  <c r="V83" i="1"/>
  <c r="F82" i="2" s="1"/>
  <c r="F83" i="2"/>
  <c r="G84" i="2"/>
  <c r="Z83" i="1"/>
  <c r="G82" i="2" s="1"/>
  <c r="G83" i="2"/>
  <c r="H84" i="2"/>
  <c r="AD83" i="1"/>
  <c r="H82" i="2" s="1"/>
  <c r="H83" i="2"/>
  <c r="I84" i="2"/>
  <c r="AH83" i="1"/>
  <c r="I82" i="2" s="1"/>
  <c r="I83" i="2"/>
  <c r="J84" i="2"/>
  <c r="AL83" i="1"/>
  <c r="J82" i="2" s="1"/>
  <c r="J83" i="2"/>
  <c r="K84" i="2"/>
  <c r="AP83" i="1"/>
  <c r="K82" i="2" s="1"/>
  <c r="K83" i="2"/>
  <c r="L84" i="2"/>
  <c r="AT83" i="1"/>
  <c r="L82" i="2" s="1"/>
  <c r="L83" i="2"/>
  <c r="M84" i="2"/>
  <c r="AX83" i="1"/>
  <c r="M82" i="2" s="1"/>
  <c r="M83" i="2"/>
  <c r="N84" i="2"/>
  <c r="BB83" i="1"/>
  <c r="N82" i="2" s="1"/>
  <c r="N83" i="2"/>
  <c r="O84" i="2"/>
  <c r="BF83" i="1"/>
  <c r="O82" i="2" s="1"/>
  <c r="O83" i="2"/>
  <c r="P84" i="2"/>
  <c r="V84" i="2" s="1"/>
  <c r="BJ83" i="1"/>
  <c r="P82" i="2" s="1"/>
  <c r="V82" i="2" s="1"/>
  <c r="P83" i="2"/>
  <c r="V83" i="2" s="1"/>
  <c r="Q84" i="2"/>
  <c r="BN83" i="1"/>
  <c r="Q82" i="2" s="1"/>
  <c r="Q83" i="2"/>
  <c r="R84" i="2"/>
  <c r="BR83" i="1"/>
  <c r="R82" i="2" s="1"/>
  <c r="R83" i="2"/>
  <c r="S84" i="2"/>
  <c r="BV83" i="1"/>
  <c r="S82" i="2" s="1"/>
  <c r="S83" i="2"/>
  <c r="BZ108" i="1"/>
  <c r="BY108"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152" i="2"/>
  <c r="B151" i="2"/>
  <c r="B146" i="2"/>
  <c r="B10" i="2"/>
  <c r="B11" i="2"/>
  <c r="B17" i="2"/>
  <c r="C12" i="1"/>
  <c r="C14" i="1" s="1"/>
  <c r="D12" i="1"/>
  <c r="D14" i="1" s="1"/>
  <c r="E12" i="1"/>
  <c r="E14" i="1" s="1"/>
  <c r="F12" i="1"/>
  <c r="F14" i="1" s="1"/>
  <c r="B18" i="2"/>
  <c r="B19" i="2"/>
  <c r="B33" i="2"/>
  <c r="B34" i="2"/>
  <c r="B35" i="2"/>
  <c r="B36" i="2"/>
  <c r="C37" i="1"/>
  <c r="C136" i="1" s="1"/>
  <c r="D37" i="1"/>
  <c r="D128" i="1" s="1"/>
  <c r="E37" i="1"/>
  <c r="E136" i="1" s="1"/>
  <c r="F37" i="1"/>
  <c r="F136" i="1" s="1"/>
  <c r="B60" i="2"/>
  <c r="T132" i="2"/>
  <c r="B132" i="2"/>
  <c r="B83" i="1"/>
  <c r="B88" i="1" s="1"/>
  <c r="T113" i="2"/>
  <c r="B113" i="2"/>
  <c r="T123" i="2"/>
  <c r="B123" i="2"/>
  <c r="T116" i="2"/>
  <c r="N10" i="2"/>
  <c r="N116" i="2"/>
  <c r="T68" i="2"/>
  <c r="S68" i="2"/>
  <c r="J113" i="2"/>
  <c r="J68" i="2"/>
  <c r="J67" i="2" s="1"/>
  <c r="J123" i="2"/>
  <c r="T115" i="2"/>
  <c r="N115" i="2"/>
  <c r="BW111" i="1"/>
  <c r="BX111" i="1"/>
  <c r="BY111" i="1"/>
  <c r="B110" i="2"/>
  <c r="B99" i="2"/>
  <c r="BZ104" i="1"/>
  <c r="T103" i="2" s="1"/>
  <c r="F104" i="1"/>
  <c r="B103" i="2" s="1"/>
  <c r="T100" i="2"/>
  <c r="F101" i="1"/>
  <c r="B100" i="2" s="1"/>
  <c r="T90" i="2"/>
  <c r="H90" i="2"/>
  <c r="T88" i="2"/>
  <c r="C88" i="2"/>
  <c r="T86" i="2"/>
  <c r="B86" i="2"/>
  <c r="BV60" i="1"/>
  <c r="S60" i="2" s="1"/>
  <c r="BW110" i="1"/>
  <c r="BX110" i="1"/>
  <c r="BY110" i="1"/>
  <c r="T102" i="2"/>
  <c r="T101" i="2"/>
  <c r="T95" i="2"/>
  <c r="T94" i="2"/>
  <c r="T93" i="2"/>
  <c r="T85" i="2"/>
  <c r="T78" i="2"/>
  <c r="T77" i="2"/>
  <c r="T76" i="2"/>
  <c r="T14" i="2"/>
  <c r="T21" i="2"/>
  <c r="T22" i="2"/>
  <c r="BZ67" i="1"/>
  <c r="BZ71" i="1"/>
  <c r="BZ97" i="1"/>
  <c r="BZ109" i="1"/>
  <c r="BZ122" i="1"/>
  <c r="BY83" i="1"/>
  <c r="BY12" i="1"/>
  <c r="BY14" i="1" s="1"/>
  <c r="BY37" i="1"/>
  <c r="BW12" i="1"/>
  <c r="BW14" i="1" s="1"/>
  <c r="BW31" i="1" s="1"/>
  <c r="BW37" i="1"/>
  <c r="BX12" i="1"/>
  <c r="BX14" i="1" s="1"/>
  <c r="BX37" i="1"/>
  <c r="BX136" i="1" s="1"/>
  <c r="BX154" i="1"/>
  <c r="BY154" i="1"/>
  <c r="BX155" i="1"/>
  <c r="BY155" i="1"/>
  <c r="BX157" i="1"/>
  <c r="BY157" i="1"/>
  <c r="BY141" i="1"/>
  <c r="BY144" i="1" s="1"/>
  <c r="BV12" i="1"/>
  <c r="BV14" i="1" s="1"/>
  <c r="BX83" i="1"/>
  <c r="BY122" i="1"/>
  <c r="BY109" i="1"/>
  <c r="BY104" i="1"/>
  <c r="BY71" i="1"/>
  <c r="BY67" i="1"/>
  <c r="BW155" i="1"/>
  <c r="BX141" i="1"/>
  <c r="BX143" i="1" s="1"/>
  <c r="BW83" i="1"/>
  <c r="BX109" i="1"/>
  <c r="BX104" i="1"/>
  <c r="BX71" i="1"/>
  <c r="BX67" i="1"/>
  <c r="BW157" i="1"/>
  <c r="BW154" i="1"/>
  <c r="S146" i="2"/>
  <c r="BW141" i="1"/>
  <c r="BW144" i="1" s="1"/>
  <c r="BW122" i="1"/>
  <c r="BW109" i="1"/>
  <c r="BW104" i="1"/>
  <c r="BW97" i="1"/>
  <c r="BW71" i="1"/>
  <c r="BW67" i="1"/>
  <c r="S133" i="2"/>
  <c r="S79" i="2"/>
  <c r="S99" i="2"/>
  <c r="R99" i="2"/>
  <c r="S154" i="2"/>
  <c r="BV157" i="1"/>
  <c r="S157" i="2" s="1"/>
  <c r="BV154" i="1"/>
  <c r="BV155" i="1"/>
  <c r="S86" i="2"/>
  <c r="S142" i="2"/>
  <c r="S113" i="2"/>
  <c r="S116" i="2"/>
  <c r="R68" i="2"/>
  <c r="S115" i="2"/>
  <c r="BS111" i="1"/>
  <c r="BT111" i="1"/>
  <c r="BU111" i="1"/>
  <c r="BV111" i="1"/>
  <c r="S90" i="2"/>
  <c r="S88" i="2"/>
  <c r="R79" i="2"/>
  <c r="S12" i="2"/>
  <c r="S123" i="2"/>
  <c r="S118" i="2" s="1"/>
  <c r="R60" i="2"/>
  <c r="BV141" i="1"/>
  <c r="BV144" i="1" s="1"/>
  <c r="BU12" i="1"/>
  <c r="BU14" i="1" s="1"/>
  <c r="BU37" i="1"/>
  <c r="BU73" i="1" s="1"/>
  <c r="BV130" i="1"/>
  <c r="BU83" i="1"/>
  <c r="BT129" i="1"/>
  <c r="BV110" i="1"/>
  <c r="BV109" i="1"/>
  <c r="BV71" i="1"/>
  <c r="S152" i="2"/>
  <c r="S132" i="2"/>
  <c r="J10" i="2"/>
  <c r="J11" i="2"/>
  <c r="BV104" i="1"/>
  <c r="S103" i="2" s="1"/>
  <c r="S100" i="2"/>
  <c r="S156" i="2"/>
  <c r="BS110" i="1"/>
  <c r="BT110" i="1"/>
  <c r="BU110" i="1"/>
  <c r="S101" i="2"/>
  <c r="S102" i="2"/>
  <c r="S94" i="2"/>
  <c r="S95" i="2"/>
  <c r="S93" i="2"/>
  <c r="S85" i="2"/>
  <c r="S77" i="2"/>
  <c r="S78" i="2"/>
  <c r="S76" i="2"/>
  <c r="R72" i="2"/>
  <c r="S21" i="2"/>
  <c r="S22" i="2"/>
  <c r="R12" i="2"/>
  <c r="BV122" i="1"/>
  <c r="BV97" i="1"/>
  <c r="BV67" i="1"/>
  <c r="BU157" i="1"/>
  <c r="BU155" i="1"/>
  <c r="BU154" i="1"/>
  <c r="BT12" i="1"/>
  <c r="BT14" i="1" s="1"/>
  <c r="BT31" i="1" s="1"/>
  <c r="BT122" i="1"/>
  <c r="BU122" i="1"/>
  <c r="BT141" i="1"/>
  <c r="BT144" i="1" s="1"/>
  <c r="BU141" i="1"/>
  <c r="BU144" i="1" s="1"/>
  <c r="BU130" i="1"/>
  <c r="BT83" i="1"/>
  <c r="BT74" i="1"/>
  <c r="BS71" i="1"/>
  <c r="BT71" i="1"/>
  <c r="BU71" i="1"/>
  <c r="BT49" i="1"/>
  <c r="BS57" i="1"/>
  <c r="BT57" i="1"/>
  <c r="BT37" i="1"/>
  <c r="BU109" i="1"/>
  <c r="BU104" i="1"/>
  <c r="BU97" i="1"/>
  <c r="BU67" i="1"/>
  <c r="BC12" i="1"/>
  <c r="BC14" i="1" s="1"/>
  <c r="BC37" i="1"/>
  <c r="BC128" i="1" s="1"/>
  <c r="G12" i="1"/>
  <c r="G14" i="1" s="1"/>
  <c r="G37" i="1"/>
  <c r="G136" i="1" s="1"/>
  <c r="H12" i="1"/>
  <c r="H14" i="1" s="1"/>
  <c r="H37" i="1"/>
  <c r="I12" i="1"/>
  <c r="I14" i="1" s="1"/>
  <c r="I37" i="1"/>
  <c r="I136" i="1" s="1"/>
  <c r="J12" i="1"/>
  <c r="J14" i="1" s="1"/>
  <c r="J37" i="1"/>
  <c r="J128" i="1" s="1"/>
  <c r="K12" i="1"/>
  <c r="K14" i="1" s="1"/>
  <c r="K37" i="1"/>
  <c r="L12" i="1"/>
  <c r="L14" i="1" s="1"/>
  <c r="L37" i="1"/>
  <c r="L136" i="1" s="1"/>
  <c r="M12" i="1"/>
  <c r="M14" i="1" s="1"/>
  <c r="M37" i="1"/>
  <c r="M136" i="1" s="1"/>
  <c r="N12" i="1"/>
  <c r="N14" i="1" s="1"/>
  <c r="N37" i="1"/>
  <c r="O12" i="1"/>
  <c r="O14" i="1" s="1"/>
  <c r="O37" i="1"/>
  <c r="O136" i="1" s="1"/>
  <c r="P12" i="1"/>
  <c r="P14" i="1" s="1"/>
  <c r="P37" i="1"/>
  <c r="P136" i="1" s="1"/>
  <c r="Q12" i="1"/>
  <c r="Q14" i="1" s="1"/>
  <c r="Q37" i="1"/>
  <c r="Q136" i="1" s="1"/>
  <c r="R12" i="1"/>
  <c r="R14" i="1" s="1"/>
  <c r="R37" i="1"/>
  <c r="R136" i="1" s="1"/>
  <c r="S12" i="1"/>
  <c r="S14" i="1" s="1"/>
  <c r="S37" i="1"/>
  <c r="S128" i="1" s="1"/>
  <c r="T12" i="1"/>
  <c r="T14" i="1" s="1"/>
  <c r="T37" i="1"/>
  <c r="U12" i="1"/>
  <c r="U14" i="1" s="1"/>
  <c r="U37" i="1"/>
  <c r="U128" i="1" s="1"/>
  <c r="V12" i="1"/>
  <c r="V14" i="1" s="1"/>
  <c r="V37" i="1"/>
  <c r="V136" i="1" s="1"/>
  <c r="W12" i="1"/>
  <c r="W14" i="1" s="1"/>
  <c r="W37" i="1"/>
  <c r="X12" i="1"/>
  <c r="X14" i="1" s="1"/>
  <c r="X37" i="1"/>
  <c r="X136" i="1" s="1"/>
  <c r="Y12" i="1"/>
  <c r="Y14" i="1" s="1"/>
  <c r="Y37" i="1"/>
  <c r="Y128" i="1" s="1"/>
  <c r="Z12" i="1"/>
  <c r="Z14" i="1" s="1"/>
  <c r="Z37" i="1"/>
  <c r="Z128" i="1" s="1"/>
  <c r="AA12" i="1"/>
  <c r="AA14" i="1" s="1"/>
  <c r="AA37" i="1"/>
  <c r="AA128" i="1" s="1"/>
  <c r="AB12" i="1"/>
  <c r="AB14" i="1" s="1"/>
  <c r="AB37" i="1"/>
  <c r="AB128" i="1" s="1"/>
  <c r="AC12" i="1"/>
  <c r="AC14" i="1" s="1"/>
  <c r="AC37" i="1"/>
  <c r="AC128" i="1" s="1"/>
  <c r="AD12" i="1"/>
  <c r="AD14" i="1" s="1"/>
  <c r="AD37" i="1"/>
  <c r="AD136" i="1" s="1"/>
  <c r="AE12" i="1"/>
  <c r="AE14" i="1" s="1"/>
  <c r="AE37" i="1"/>
  <c r="AF12" i="1"/>
  <c r="AF14" i="1" s="1"/>
  <c r="AF37" i="1"/>
  <c r="AF136" i="1" s="1"/>
  <c r="AG12" i="1"/>
  <c r="AG14" i="1" s="1"/>
  <c r="AG37" i="1"/>
  <c r="AG136" i="1" s="1"/>
  <c r="AH12" i="1"/>
  <c r="AH14" i="1" s="1"/>
  <c r="AH37" i="1"/>
  <c r="AI12" i="1"/>
  <c r="AI14" i="1" s="1"/>
  <c r="AI37" i="1"/>
  <c r="AJ12" i="1"/>
  <c r="AJ14" i="1" s="1"/>
  <c r="AJ37" i="1"/>
  <c r="AJ73" i="1" s="1"/>
  <c r="AK12" i="1"/>
  <c r="AK14" i="1" s="1"/>
  <c r="AK37" i="1"/>
  <c r="AK128" i="1" s="1"/>
  <c r="AL12" i="1"/>
  <c r="AL14" i="1" s="1"/>
  <c r="AL37" i="1"/>
  <c r="AL136" i="1" s="1"/>
  <c r="AM12" i="1"/>
  <c r="AM14" i="1" s="1"/>
  <c r="AM37" i="1"/>
  <c r="AM136" i="1" s="1"/>
  <c r="AN12" i="1"/>
  <c r="AN14" i="1" s="1"/>
  <c r="AN37" i="1"/>
  <c r="AN128" i="1" s="1"/>
  <c r="AO12" i="1"/>
  <c r="AO14" i="1" s="1"/>
  <c r="AO37" i="1"/>
  <c r="AO73" i="1" s="1"/>
  <c r="AP12" i="1"/>
  <c r="AP14" i="1" s="1"/>
  <c r="AP37" i="1"/>
  <c r="AP128" i="1" s="1"/>
  <c r="AQ12" i="1"/>
  <c r="AQ14" i="1" s="1"/>
  <c r="AQ37" i="1"/>
  <c r="AQ73" i="1" s="1"/>
  <c r="AR12" i="1"/>
  <c r="AR14" i="1" s="1"/>
  <c r="AR37" i="1"/>
  <c r="AS12" i="1"/>
  <c r="AS14" i="1" s="1"/>
  <c r="AS37" i="1"/>
  <c r="AS128" i="1" s="1"/>
  <c r="AT12" i="1"/>
  <c r="AT14" i="1" s="1"/>
  <c r="AT37" i="1"/>
  <c r="AU12" i="1"/>
  <c r="AU14" i="1" s="1"/>
  <c r="AU37" i="1"/>
  <c r="AV12" i="1"/>
  <c r="AV14" i="1" s="1"/>
  <c r="AV37" i="1"/>
  <c r="AV73" i="1" s="1"/>
  <c r="AW12" i="1"/>
  <c r="AW14" i="1" s="1"/>
  <c r="AW37" i="1"/>
  <c r="AW128" i="1" s="1"/>
  <c r="AX12" i="1"/>
  <c r="AX37" i="1"/>
  <c r="AY12" i="1"/>
  <c r="AY14" i="1" s="1"/>
  <c r="AY37" i="1"/>
  <c r="AY73" i="1" s="1"/>
  <c r="AZ12" i="1"/>
  <c r="AZ14" i="1" s="1"/>
  <c r="AZ37" i="1"/>
  <c r="BA12" i="1"/>
  <c r="BA14" i="1" s="1"/>
  <c r="BA37" i="1"/>
  <c r="BA128" i="1" s="1"/>
  <c r="BB12" i="1"/>
  <c r="BB14" i="1" s="1"/>
  <c r="BB37" i="1"/>
  <c r="BB128" i="1" s="1"/>
  <c r="BD12" i="1"/>
  <c r="BD14" i="1" s="1"/>
  <c r="BD37" i="1"/>
  <c r="BD73" i="1" s="1"/>
  <c r="BE12" i="1"/>
  <c r="BE14" i="1" s="1"/>
  <c r="BE37" i="1"/>
  <c r="BF12" i="1"/>
  <c r="BF14" i="1" s="1"/>
  <c r="BF31" i="1" s="1"/>
  <c r="BF37" i="1"/>
  <c r="BF73" i="1" s="1"/>
  <c r="BG37" i="1"/>
  <c r="BG128" i="1" s="1"/>
  <c r="BH12" i="1"/>
  <c r="BH14" i="1" s="1"/>
  <c r="BH37" i="1"/>
  <c r="BH73" i="1" s="1"/>
  <c r="BI12" i="1"/>
  <c r="BI14" i="1" s="1"/>
  <c r="BI37" i="1"/>
  <c r="BI128" i="1" s="1"/>
  <c r="BJ37" i="1"/>
  <c r="BJ128" i="1" s="1"/>
  <c r="BK12" i="1"/>
  <c r="BK14" i="1" s="1"/>
  <c r="BM12" i="1"/>
  <c r="BM14" i="1" s="1"/>
  <c r="BM37" i="1"/>
  <c r="BM73" i="1" s="1"/>
  <c r="BS55" i="1"/>
  <c r="BT55" i="1"/>
  <c r="BS56" i="1"/>
  <c r="BT56" i="1"/>
  <c r="O113" i="2"/>
  <c r="O99" i="2"/>
  <c r="O46" i="2"/>
  <c r="N11" i="2"/>
  <c r="N17" i="2"/>
  <c r="N33" i="2"/>
  <c r="N34" i="2"/>
  <c r="N35" i="2"/>
  <c r="N36" i="2"/>
  <c r="N46" i="2"/>
  <c r="M10" i="2"/>
  <c r="M11" i="2"/>
  <c r="M33" i="2"/>
  <c r="M34" i="2"/>
  <c r="M35" i="2"/>
  <c r="M36" i="2"/>
  <c r="M99" i="2"/>
  <c r="L12" i="2"/>
  <c r="L33" i="2"/>
  <c r="L34" i="2"/>
  <c r="L35" i="2"/>
  <c r="L36" i="2"/>
  <c r="L46" i="2"/>
  <c r="K10" i="2"/>
  <c r="K11" i="2"/>
  <c r="K17" i="2"/>
  <c r="K20" i="2"/>
  <c r="K33" i="2"/>
  <c r="K34" i="2"/>
  <c r="K35" i="2"/>
  <c r="K36" i="2"/>
  <c r="K46" i="2"/>
  <c r="J17" i="2"/>
  <c r="J33" i="2"/>
  <c r="J34" i="2"/>
  <c r="J35" i="2"/>
  <c r="J36" i="2"/>
  <c r="J46" i="2"/>
  <c r="I10" i="2"/>
  <c r="I11" i="2"/>
  <c r="I17" i="2"/>
  <c r="I33" i="2"/>
  <c r="I34" i="2"/>
  <c r="I35" i="2"/>
  <c r="I36" i="2"/>
  <c r="I46" i="2"/>
  <c r="H10" i="2"/>
  <c r="H11" i="2"/>
  <c r="H17" i="2"/>
  <c r="H33" i="2"/>
  <c r="H34" i="2"/>
  <c r="H35" i="2"/>
  <c r="H36" i="2"/>
  <c r="H46" i="2"/>
  <c r="G10" i="2"/>
  <c r="G11" i="2"/>
  <c r="G17" i="2"/>
  <c r="G33" i="2"/>
  <c r="G34" i="2"/>
  <c r="G35" i="2"/>
  <c r="G36" i="2"/>
  <c r="G99" i="2"/>
  <c r="G46" i="2"/>
  <c r="F10" i="2"/>
  <c r="F11" i="2"/>
  <c r="F17" i="2"/>
  <c r="F33" i="2"/>
  <c r="F34" i="2"/>
  <c r="F35" i="2"/>
  <c r="F36" i="2"/>
  <c r="F46" i="2"/>
  <c r="E10" i="2"/>
  <c r="E11" i="2"/>
  <c r="E17" i="2"/>
  <c r="E18" i="2"/>
  <c r="E19" i="2"/>
  <c r="E33" i="2"/>
  <c r="E34" i="2"/>
  <c r="E35" i="2"/>
  <c r="E36" i="2"/>
  <c r="D10" i="2"/>
  <c r="D11" i="2"/>
  <c r="D17" i="2"/>
  <c r="D18" i="2"/>
  <c r="D19" i="2"/>
  <c r="D33" i="2"/>
  <c r="D34" i="2"/>
  <c r="D35" i="2"/>
  <c r="D36" i="2"/>
  <c r="C10" i="2"/>
  <c r="C11" i="2"/>
  <c r="C17" i="2"/>
  <c r="C18" i="2"/>
  <c r="C19" i="2"/>
  <c r="C33" i="2"/>
  <c r="C34" i="2"/>
  <c r="C35" i="2"/>
  <c r="C36" i="2"/>
  <c r="O142" i="2"/>
  <c r="O146" i="2"/>
  <c r="N142" i="2"/>
  <c r="N146" i="2"/>
  <c r="M146" i="2"/>
  <c r="L142" i="2"/>
  <c r="L146" i="2"/>
  <c r="K142" i="2"/>
  <c r="K146" i="2"/>
  <c r="J146" i="2"/>
  <c r="I146" i="2"/>
  <c r="H142" i="2"/>
  <c r="H146" i="2"/>
  <c r="G142" i="2"/>
  <c r="G146" i="2"/>
  <c r="F146" i="2"/>
  <c r="E142" i="2"/>
  <c r="E146" i="2"/>
  <c r="D146" i="2"/>
  <c r="C146" i="2"/>
  <c r="BS141" i="1"/>
  <c r="BS143" i="1" s="1"/>
  <c r="BR141" i="1"/>
  <c r="BR143" i="1" s="1"/>
  <c r="BQ141" i="1"/>
  <c r="BP141" i="1"/>
  <c r="BP144" i="1" s="1"/>
  <c r="BO141" i="1"/>
  <c r="BO143" i="1" s="1"/>
  <c r="BN141" i="1"/>
  <c r="BN143" i="1" s="1"/>
  <c r="BM141" i="1"/>
  <c r="BL141" i="1"/>
  <c r="BK141" i="1"/>
  <c r="BK143" i="1" s="1"/>
  <c r="BJ141" i="1"/>
  <c r="BJ143" i="1" s="1"/>
  <c r="BI141" i="1"/>
  <c r="BI143" i="1" s="1"/>
  <c r="BH141" i="1"/>
  <c r="BG141" i="1"/>
  <c r="BG144" i="1" s="1"/>
  <c r="BF141" i="1"/>
  <c r="BF143" i="1" s="1"/>
  <c r="BE141" i="1"/>
  <c r="BE143" i="1" s="1"/>
  <c r="BD141" i="1"/>
  <c r="BD144" i="1" s="1"/>
  <c r="BC141" i="1"/>
  <c r="BC144" i="1" s="1"/>
  <c r="BB141" i="1"/>
  <c r="BB144" i="1" s="1"/>
  <c r="BA141" i="1"/>
  <c r="BA144" i="1" s="1"/>
  <c r="AZ141" i="1"/>
  <c r="AZ144" i="1" s="1"/>
  <c r="AY141" i="1"/>
  <c r="AY143" i="1" s="1"/>
  <c r="AX141" i="1"/>
  <c r="AX144" i="1" s="1"/>
  <c r="AW141" i="1"/>
  <c r="AW143" i="1" s="1"/>
  <c r="AV141" i="1"/>
  <c r="AV143" i="1" s="1"/>
  <c r="AU141" i="1"/>
  <c r="AU144" i="1" s="1"/>
  <c r="AT141" i="1"/>
  <c r="AS141" i="1"/>
  <c r="AS144" i="1" s="1"/>
  <c r="AR141" i="1"/>
  <c r="AR144" i="1" s="1"/>
  <c r="AQ141" i="1"/>
  <c r="AQ144" i="1" s="1"/>
  <c r="AP141" i="1"/>
  <c r="AP144" i="1" s="1"/>
  <c r="AO141" i="1"/>
  <c r="AO144" i="1" s="1"/>
  <c r="AN141" i="1"/>
  <c r="AN144" i="1" s="1"/>
  <c r="AM141" i="1"/>
  <c r="AM143" i="1" s="1"/>
  <c r="AL141" i="1"/>
  <c r="AL143" i="1" s="1"/>
  <c r="AK141" i="1"/>
  <c r="AK143" i="1" s="1"/>
  <c r="AJ141" i="1"/>
  <c r="AJ143" i="1" s="1"/>
  <c r="AI141" i="1"/>
  <c r="AI144" i="1" s="1"/>
  <c r="AH141" i="1"/>
  <c r="AG141" i="1"/>
  <c r="AF141" i="1"/>
  <c r="AF144" i="1" s="1"/>
  <c r="AE141" i="1"/>
  <c r="AE143" i="1" s="1"/>
  <c r="AD141" i="1"/>
  <c r="AD144" i="1" s="1"/>
  <c r="AC141" i="1"/>
  <c r="AC144" i="1" s="1"/>
  <c r="AB141" i="1"/>
  <c r="AB144" i="1" s="1"/>
  <c r="AA141" i="1"/>
  <c r="AA144" i="1" s="1"/>
  <c r="Z141" i="1"/>
  <c r="Z143" i="1" s="1"/>
  <c r="Y141" i="1"/>
  <c r="Y143" i="1" s="1"/>
  <c r="X141" i="1"/>
  <c r="X143" i="1" s="1"/>
  <c r="W141" i="1"/>
  <c r="W144" i="1" s="1"/>
  <c r="V141" i="1"/>
  <c r="V144" i="1" s="1"/>
  <c r="U141" i="1"/>
  <c r="U143" i="1" s="1"/>
  <c r="T141" i="1"/>
  <c r="T143" i="1" s="1"/>
  <c r="S141" i="1"/>
  <c r="S144" i="1" s="1"/>
  <c r="R141" i="1"/>
  <c r="R143" i="1" s="1"/>
  <c r="Q141" i="1"/>
  <c r="Q143" i="1" s="1"/>
  <c r="P141" i="1"/>
  <c r="P144" i="1" s="1"/>
  <c r="O141" i="1"/>
  <c r="N141" i="1"/>
  <c r="N144" i="1" s="1"/>
  <c r="M141" i="1"/>
  <c r="M144" i="1" s="1"/>
  <c r="L141" i="1"/>
  <c r="L144" i="1" s="1"/>
  <c r="K141" i="1"/>
  <c r="K143" i="1" s="1"/>
  <c r="J141" i="1"/>
  <c r="J143" i="1" s="1"/>
  <c r="I141" i="1"/>
  <c r="I143" i="1" s="1"/>
  <c r="H141" i="1"/>
  <c r="H143" i="1" s="1"/>
  <c r="G141" i="1"/>
  <c r="G144" i="1" s="1"/>
  <c r="F141" i="1"/>
  <c r="F143" i="1" s="1"/>
  <c r="E141" i="1"/>
  <c r="D141" i="1"/>
  <c r="D144" i="1" s="1"/>
  <c r="C141" i="1"/>
  <c r="C144" i="1" s="1"/>
  <c r="B90" i="2"/>
  <c r="C90" i="2"/>
  <c r="D90" i="2"/>
  <c r="E90" i="2"/>
  <c r="F90" i="2"/>
  <c r="G90" i="2"/>
  <c r="I90" i="2"/>
  <c r="J90" i="2"/>
  <c r="K90" i="2"/>
  <c r="L90" i="2"/>
  <c r="M90" i="2"/>
  <c r="N90" i="2"/>
  <c r="O90" i="2"/>
  <c r="P90" i="2"/>
  <c r="V90" i="2" s="1"/>
  <c r="Q90" i="2"/>
  <c r="R90" i="2"/>
  <c r="R156" i="2"/>
  <c r="Q156" i="2"/>
  <c r="P156" i="2"/>
  <c r="V156" i="2" s="1"/>
  <c r="O156" i="2"/>
  <c r="N156" i="2"/>
  <c r="M156" i="2"/>
  <c r="L156" i="2"/>
  <c r="K156" i="2"/>
  <c r="J156" i="2"/>
  <c r="I156" i="2"/>
  <c r="H156" i="2"/>
  <c r="G156" i="2"/>
  <c r="F156" i="2"/>
  <c r="E156" i="2"/>
  <c r="D156" i="2"/>
  <c r="C156" i="2"/>
  <c r="B156" i="2"/>
  <c r="R154" i="2"/>
  <c r="Q154" i="2"/>
  <c r="P154" i="2"/>
  <c r="O154" i="2"/>
  <c r="N154" i="2"/>
  <c r="M154" i="2"/>
  <c r="L154" i="2"/>
  <c r="K154" i="2"/>
  <c r="J154" i="2"/>
  <c r="I154" i="2"/>
  <c r="H154" i="2"/>
  <c r="G154" i="2"/>
  <c r="F154" i="2"/>
  <c r="E154" i="2"/>
  <c r="D154" i="2"/>
  <c r="C154" i="2"/>
  <c r="B154" i="2"/>
  <c r="R152" i="2"/>
  <c r="Q152" i="2"/>
  <c r="P152" i="2"/>
  <c r="V152" i="2" s="1"/>
  <c r="O152" i="2"/>
  <c r="N152" i="2"/>
  <c r="M152" i="2"/>
  <c r="L152" i="2"/>
  <c r="K152" i="2"/>
  <c r="J152" i="2"/>
  <c r="I152" i="2"/>
  <c r="H152" i="2"/>
  <c r="G152" i="2"/>
  <c r="F152" i="2"/>
  <c r="E152" i="2"/>
  <c r="D152" i="2"/>
  <c r="C152" i="2"/>
  <c r="R151" i="2"/>
  <c r="Q151" i="2"/>
  <c r="P151" i="2"/>
  <c r="V151" i="2" s="1"/>
  <c r="O151" i="2"/>
  <c r="N151" i="2"/>
  <c r="M151" i="2"/>
  <c r="L151" i="2"/>
  <c r="K151" i="2"/>
  <c r="J151" i="2"/>
  <c r="I151" i="2"/>
  <c r="H151" i="2"/>
  <c r="G151" i="2"/>
  <c r="F151" i="2"/>
  <c r="E151" i="2"/>
  <c r="D151" i="2"/>
  <c r="C151" i="2"/>
  <c r="R146" i="2"/>
  <c r="Q146" i="2"/>
  <c r="Q142" i="2"/>
  <c r="P146" i="2"/>
  <c r="V146" i="2" s="1"/>
  <c r="P142" i="2"/>
  <c r="R133" i="2"/>
  <c r="R135" i="2" s="1"/>
  <c r="Q133" i="2"/>
  <c r="Q135" i="2" s="1"/>
  <c r="P133" i="2"/>
  <c r="O133" i="2"/>
  <c r="N133" i="2"/>
  <c r="M133" i="2"/>
  <c r="L133" i="2"/>
  <c r="K133" i="2"/>
  <c r="R132" i="2"/>
  <c r="Q132" i="2"/>
  <c r="P132" i="2"/>
  <c r="V132" i="2" s="1"/>
  <c r="O132" i="2"/>
  <c r="N132" i="2"/>
  <c r="M132" i="2"/>
  <c r="L132" i="2"/>
  <c r="K132" i="2"/>
  <c r="J132" i="2"/>
  <c r="I132" i="2"/>
  <c r="H132" i="2"/>
  <c r="G132" i="2"/>
  <c r="F132" i="2"/>
  <c r="E132" i="2"/>
  <c r="D132" i="2"/>
  <c r="C132" i="2"/>
  <c r="R127" i="2"/>
  <c r="Q127" i="2"/>
  <c r="P127" i="2"/>
  <c r="R116" i="2"/>
  <c r="Q116" i="2"/>
  <c r="P116" i="2"/>
  <c r="V116" i="2" s="1"/>
  <c r="O116" i="2"/>
  <c r="R115" i="2"/>
  <c r="Q115" i="2"/>
  <c r="P115" i="2"/>
  <c r="V115" i="2" s="1"/>
  <c r="O115" i="2"/>
  <c r="R113" i="2"/>
  <c r="N113" i="2"/>
  <c r="I113" i="2"/>
  <c r="E113" i="2"/>
  <c r="Q113" i="2"/>
  <c r="P113" i="2"/>
  <c r="V113" i="2" s="1"/>
  <c r="M113" i="2"/>
  <c r="L113" i="2"/>
  <c r="K113" i="2"/>
  <c r="H113" i="2"/>
  <c r="G113" i="2"/>
  <c r="F113" i="2"/>
  <c r="D113" i="2"/>
  <c r="C113" i="2"/>
  <c r="R123" i="2"/>
  <c r="R118" i="2" s="1"/>
  <c r="Q123" i="2"/>
  <c r="P123" i="2"/>
  <c r="O123" i="2"/>
  <c r="N123" i="2"/>
  <c r="M123" i="2"/>
  <c r="L123" i="2"/>
  <c r="K123" i="2"/>
  <c r="I123" i="2"/>
  <c r="H123" i="2"/>
  <c r="G123" i="2"/>
  <c r="F123" i="2"/>
  <c r="E123" i="2"/>
  <c r="D123" i="2"/>
  <c r="C123" i="2"/>
  <c r="L110" i="2"/>
  <c r="K110" i="2"/>
  <c r="J110" i="2"/>
  <c r="I110" i="2"/>
  <c r="H110" i="2"/>
  <c r="G110" i="2"/>
  <c r="F110" i="2"/>
  <c r="E110" i="2"/>
  <c r="D110" i="2"/>
  <c r="C110" i="2"/>
  <c r="L109" i="2"/>
  <c r="K109" i="2"/>
  <c r="J109" i="2"/>
  <c r="I109" i="2"/>
  <c r="H109" i="2"/>
  <c r="G109" i="2"/>
  <c r="F109" i="2"/>
  <c r="E109" i="2"/>
  <c r="D109" i="2"/>
  <c r="C109" i="2"/>
  <c r="B109" i="2"/>
  <c r="R102" i="2"/>
  <c r="Q102" i="2"/>
  <c r="P102" i="2"/>
  <c r="O102" i="2"/>
  <c r="N102" i="2"/>
  <c r="M102" i="2"/>
  <c r="L102" i="2"/>
  <c r="K102" i="2"/>
  <c r="J102" i="2"/>
  <c r="I102" i="2"/>
  <c r="H102" i="2"/>
  <c r="G102" i="2"/>
  <c r="F102" i="2"/>
  <c r="E102" i="2"/>
  <c r="D102" i="2"/>
  <c r="C102" i="2"/>
  <c r="B102" i="2"/>
  <c r="R101" i="2"/>
  <c r="Q101" i="2"/>
  <c r="P101" i="2"/>
  <c r="V101" i="2" s="1"/>
  <c r="O101" i="2"/>
  <c r="N101" i="2"/>
  <c r="M101" i="2"/>
  <c r="L101" i="2"/>
  <c r="K101" i="2"/>
  <c r="J101" i="2"/>
  <c r="I101" i="2"/>
  <c r="H101" i="2"/>
  <c r="G101" i="2"/>
  <c r="F101" i="2"/>
  <c r="E101" i="2"/>
  <c r="D101" i="2"/>
  <c r="C101" i="2"/>
  <c r="B101" i="2"/>
  <c r="Q99" i="2"/>
  <c r="P99" i="2"/>
  <c r="V99" i="2" s="1"/>
  <c r="N99" i="2"/>
  <c r="L99" i="2"/>
  <c r="K99" i="2"/>
  <c r="J99" i="2"/>
  <c r="I99" i="2"/>
  <c r="H99" i="2"/>
  <c r="F99" i="2"/>
  <c r="E99" i="2"/>
  <c r="D99" i="2"/>
  <c r="C99" i="2"/>
  <c r="R95" i="2"/>
  <c r="Q95" i="2"/>
  <c r="P95" i="2"/>
  <c r="V95" i="2" s="1"/>
  <c r="O95" i="2"/>
  <c r="R94" i="2"/>
  <c r="Q94" i="2"/>
  <c r="P94" i="2"/>
  <c r="V94" i="2" s="1"/>
  <c r="O94" i="2"/>
  <c r="R93" i="2"/>
  <c r="Q93" i="2"/>
  <c r="P93" i="2"/>
  <c r="V93" i="2" s="1"/>
  <c r="R88" i="2"/>
  <c r="Q88" i="2"/>
  <c r="P88" i="2"/>
  <c r="V88" i="2" s="1"/>
  <c r="O88" i="2"/>
  <c r="N88" i="2"/>
  <c r="M88" i="2"/>
  <c r="L88" i="2"/>
  <c r="K88" i="2"/>
  <c r="J88" i="2"/>
  <c r="I88" i="2"/>
  <c r="H88" i="2"/>
  <c r="G88" i="2"/>
  <c r="F88" i="2"/>
  <c r="E88" i="2"/>
  <c r="D88" i="2"/>
  <c r="R86" i="2"/>
  <c r="Q86" i="2"/>
  <c r="P86" i="2"/>
  <c r="V86" i="2" s="1"/>
  <c r="O86" i="2"/>
  <c r="N86" i="2"/>
  <c r="M86" i="2"/>
  <c r="J86" i="2"/>
  <c r="I86" i="2"/>
  <c r="H86" i="2"/>
  <c r="G86" i="2"/>
  <c r="F86" i="2"/>
  <c r="E86" i="2"/>
  <c r="D86" i="2"/>
  <c r="C86" i="2"/>
  <c r="R85" i="2"/>
  <c r="Q85" i="2"/>
  <c r="P85" i="2"/>
  <c r="V85" i="2" s="1"/>
  <c r="O85" i="2"/>
  <c r="N85" i="2"/>
  <c r="M85" i="2"/>
  <c r="L85" i="2"/>
  <c r="K85" i="2"/>
  <c r="Q79" i="2"/>
  <c r="P79" i="2"/>
  <c r="V79" i="2" s="1"/>
  <c r="O79" i="2"/>
  <c r="N79" i="2"/>
  <c r="M79" i="2"/>
  <c r="L79" i="2"/>
  <c r="K79" i="2"/>
  <c r="J79" i="2"/>
  <c r="I79" i="2"/>
  <c r="H79" i="2"/>
  <c r="G79" i="2"/>
  <c r="F79" i="2"/>
  <c r="E79" i="2"/>
  <c r="D79" i="2"/>
  <c r="R78" i="2"/>
  <c r="Q78" i="2"/>
  <c r="P78" i="2"/>
  <c r="R77" i="2"/>
  <c r="Q77" i="2"/>
  <c r="P77" i="2"/>
  <c r="R76" i="2"/>
  <c r="Q76" i="2"/>
  <c r="P76" i="2"/>
  <c r="Q72" i="2"/>
  <c r="P72" i="2"/>
  <c r="Q68" i="2"/>
  <c r="P68" i="2"/>
  <c r="V68" i="2" s="1"/>
  <c r="O68" i="2"/>
  <c r="N68" i="2"/>
  <c r="M68" i="2"/>
  <c r="L68" i="2"/>
  <c r="K68" i="2"/>
  <c r="G68" i="2"/>
  <c r="F68" i="2"/>
  <c r="E68" i="2"/>
  <c r="D68" i="2"/>
  <c r="C68" i="2"/>
  <c r="B68" i="2"/>
  <c r="G67" i="2"/>
  <c r="F67" i="2"/>
  <c r="E67" i="2"/>
  <c r="D67" i="2"/>
  <c r="C67" i="2"/>
  <c r="B67" i="2"/>
  <c r="Q60" i="2"/>
  <c r="P60" i="2"/>
  <c r="V60" i="2" s="1"/>
  <c r="O60" i="2"/>
  <c r="N60" i="2"/>
  <c r="M60" i="2"/>
  <c r="L60" i="2"/>
  <c r="K60" i="2"/>
  <c r="I60" i="2"/>
  <c r="H60" i="2"/>
  <c r="G60" i="2"/>
  <c r="F60" i="2"/>
  <c r="E60" i="2"/>
  <c r="D60" i="2"/>
  <c r="C60" i="2"/>
  <c r="R36" i="2"/>
  <c r="Q36" i="2"/>
  <c r="P36" i="2"/>
  <c r="V36" i="2" s="1"/>
  <c r="R35" i="2"/>
  <c r="Q35" i="2"/>
  <c r="P35" i="2"/>
  <c r="V35" i="2" s="1"/>
  <c r="R34" i="2"/>
  <c r="Q34" i="2"/>
  <c r="P34" i="2"/>
  <c r="V34" i="2" s="1"/>
  <c r="R33" i="2"/>
  <c r="Q33" i="2"/>
  <c r="P33" i="2"/>
  <c r="V33" i="2" s="1"/>
  <c r="R22" i="2"/>
  <c r="Q22" i="2"/>
  <c r="R21" i="2"/>
  <c r="Q21" i="2"/>
  <c r="P12" i="2"/>
  <c r="BT157" i="1"/>
  <c r="BT155" i="1"/>
  <c r="BT154" i="1"/>
  <c r="AX111" i="1"/>
  <c r="M110" i="2" s="1"/>
  <c r="AX110" i="1"/>
  <c r="M109" i="2" s="1"/>
  <c r="AY111" i="1"/>
  <c r="AY110" i="1"/>
  <c r="AZ111" i="1"/>
  <c r="AZ110" i="1"/>
  <c r="BA111" i="1"/>
  <c r="BA110" i="1"/>
  <c r="BB111" i="1"/>
  <c r="BB110" i="1"/>
  <c r="BC111" i="1"/>
  <c r="BC110" i="1"/>
  <c r="BD111" i="1"/>
  <c r="BD110" i="1"/>
  <c r="BE111" i="1"/>
  <c r="BE110" i="1"/>
  <c r="BF111" i="1"/>
  <c r="BF110" i="1"/>
  <c r="BG111" i="1"/>
  <c r="BG110" i="1"/>
  <c r="BH111" i="1"/>
  <c r="BH110" i="1"/>
  <c r="BI111" i="1"/>
  <c r="BI110" i="1"/>
  <c r="BJ111" i="1"/>
  <c r="BJ110" i="1"/>
  <c r="BK111" i="1"/>
  <c r="BK110" i="1"/>
  <c r="BL111" i="1"/>
  <c r="BL110" i="1"/>
  <c r="BM111" i="1"/>
  <c r="BM110" i="1"/>
  <c r="BN111" i="1"/>
  <c r="BN110" i="1"/>
  <c r="BO111" i="1"/>
  <c r="BO110" i="1"/>
  <c r="BP111" i="1"/>
  <c r="BP110" i="1"/>
  <c r="BQ111" i="1"/>
  <c r="BQ110" i="1"/>
  <c r="BR111" i="1"/>
  <c r="BR110" i="1"/>
  <c r="BF97" i="1"/>
  <c r="BF94" i="1" s="1"/>
  <c r="O93" i="2" s="1"/>
  <c r="BG97" i="1"/>
  <c r="BH97" i="1"/>
  <c r="BI97" i="1"/>
  <c r="BJ97" i="1"/>
  <c r="BK97" i="1"/>
  <c r="BL97" i="1"/>
  <c r="BM97" i="1"/>
  <c r="BN97" i="1"/>
  <c r="BO97" i="1"/>
  <c r="BP97" i="1"/>
  <c r="BQ97" i="1"/>
  <c r="BR97" i="1"/>
  <c r="BS97" i="1"/>
  <c r="BT9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AI67" i="1"/>
  <c r="BT109" i="1"/>
  <c r="BT137" i="1"/>
  <c r="BT130" i="1"/>
  <c r="BS83" i="1"/>
  <c r="BT104" i="1"/>
  <c r="BS154" i="1"/>
  <c r="K154" i="1"/>
  <c r="L154" i="1"/>
  <c r="M154" i="1"/>
  <c r="N154" i="1"/>
  <c r="O154" i="1"/>
  <c r="P154" i="1"/>
  <c r="Q154" i="1"/>
  <c r="R154" i="1"/>
  <c r="S154" i="1"/>
  <c r="T154" i="1"/>
  <c r="U154" i="1"/>
  <c r="V154" i="1"/>
  <c r="W154" i="1"/>
  <c r="X154" i="1"/>
  <c r="Y154" i="1"/>
  <c r="Z154" i="1"/>
  <c r="AA154" i="1"/>
  <c r="AB154" i="1"/>
  <c r="AC154" i="1"/>
  <c r="AD154" i="1"/>
  <c r="AE154" i="1"/>
  <c r="AF154" i="1"/>
  <c r="AG154" i="1"/>
  <c r="AH154" i="1"/>
  <c r="AI154" i="1"/>
  <c r="AJ154" i="1"/>
  <c r="AK154" i="1"/>
  <c r="AL154" i="1"/>
  <c r="AM154" i="1"/>
  <c r="AN154" i="1"/>
  <c r="AO154" i="1"/>
  <c r="AP154" i="1"/>
  <c r="AQ154" i="1"/>
  <c r="AR154" i="1"/>
  <c r="AS154" i="1"/>
  <c r="AT154" i="1"/>
  <c r="AU154" i="1"/>
  <c r="AV154" i="1"/>
  <c r="AW154" i="1"/>
  <c r="AX154" i="1"/>
  <c r="AY154" i="1"/>
  <c r="AZ154" i="1"/>
  <c r="BA154" i="1"/>
  <c r="BB154" i="1"/>
  <c r="BC154" i="1"/>
  <c r="BD154" i="1"/>
  <c r="BE154" i="1"/>
  <c r="BF154" i="1"/>
  <c r="BG154" i="1"/>
  <c r="BH154" i="1"/>
  <c r="BI154" i="1"/>
  <c r="BJ154" i="1"/>
  <c r="BK154" i="1"/>
  <c r="BL154" i="1"/>
  <c r="BM154" i="1"/>
  <c r="BN154" i="1"/>
  <c r="N155" i="1"/>
  <c r="O155" i="1"/>
  <c r="P155" i="1"/>
  <c r="Q155" i="1"/>
  <c r="R155" i="1"/>
  <c r="S155" i="1"/>
  <c r="T155" i="1"/>
  <c r="U155" i="1"/>
  <c r="V155" i="1"/>
  <c r="W155" i="1"/>
  <c r="X155" i="1"/>
  <c r="Y155" i="1"/>
  <c r="Z155" i="1"/>
  <c r="AA155" i="1"/>
  <c r="AB155" i="1"/>
  <c r="AC155" i="1"/>
  <c r="AD155" i="1"/>
  <c r="AE155" i="1"/>
  <c r="AF155" i="1"/>
  <c r="AG155" i="1"/>
  <c r="AH155" i="1"/>
  <c r="AI155" i="1"/>
  <c r="AJ155" i="1"/>
  <c r="AK155" i="1"/>
  <c r="AL155" i="1"/>
  <c r="AM155" i="1"/>
  <c r="AN155" i="1"/>
  <c r="AO155" i="1"/>
  <c r="AP155" i="1"/>
  <c r="AQ155" i="1"/>
  <c r="AR155" i="1"/>
  <c r="AS155" i="1"/>
  <c r="AT155" i="1"/>
  <c r="AU155" i="1"/>
  <c r="AV155" i="1"/>
  <c r="AW155" i="1"/>
  <c r="AX155" i="1"/>
  <c r="AY155" i="1"/>
  <c r="AZ155" i="1"/>
  <c r="BA155" i="1"/>
  <c r="BB155" i="1"/>
  <c r="BC155" i="1"/>
  <c r="BD155" i="1"/>
  <c r="BE155" i="1"/>
  <c r="BF155" i="1"/>
  <c r="BG155" i="1"/>
  <c r="BH155" i="1"/>
  <c r="BI155" i="1"/>
  <c r="BJ155" i="1"/>
  <c r="BK155" i="1"/>
  <c r="BL155" i="1"/>
  <c r="BM155" i="1"/>
  <c r="BN155" i="1"/>
  <c r="BP155" i="1"/>
  <c r="BQ155" i="1"/>
  <c r="BR155" i="1"/>
  <c r="BS155" i="1"/>
  <c r="BP154" i="1"/>
  <c r="BQ154" i="1"/>
  <c r="BR154" i="1"/>
  <c r="BO155" i="1"/>
  <c r="BO154" i="1"/>
  <c r="BS157" i="1"/>
  <c r="BS73" i="1"/>
  <c r="BS74"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R101" i="1"/>
  <c r="R100" i="2" s="1"/>
  <c r="BS104" i="1"/>
  <c r="BS109" i="1"/>
  <c r="BS137" i="1"/>
  <c r="BS136" i="1"/>
  <c r="BS49" i="1"/>
  <c r="BS130" i="1"/>
  <c r="BS12" i="1"/>
  <c r="BS14" i="1" s="1"/>
  <c r="BS129" i="1"/>
  <c r="BS128" i="1"/>
  <c r="BS122" i="1"/>
  <c r="BR104" i="1"/>
  <c r="R103" i="2" s="1"/>
  <c r="BK83" i="1"/>
  <c r="BQ157" i="1"/>
  <c r="BP157" i="1"/>
  <c r="BO157" i="1"/>
  <c r="BN157" i="1"/>
  <c r="Q157" i="2" s="1"/>
  <c r="BM157" i="1"/>
  <c r="BL157" i="1"/>
  <c r="BK157" i="1"/>
  <c r="BJ157" i="1"/>
  <c r="P157" i="2" s="1"/>
  <c r="V157" i="2" s="1"/>
  <c r="BI157" i="1"/>
  <c r="BH157" i="1"/>
  <c r="BG157" i="1"/>
  <c r="BF157" i="1"/>
  <c r="O157" i="2" s="1"/>
  <c r="BE157" i="1"/>
  <c r="BD157" i="1"/>
  <c r="BC157" i="1"/>
  <c r="BB157" i="1"/>
  <c r="N157" i="2" s="1"/>
  <c r="BA157" i="1"/>
  <c r="AZ157" i="1"/>
  <c r="AY157" i="1"/>
  <c r="AX157" i="1"/>
  <c r="M157" i="2" s="1"/>
  <c r="AW157" i="1"/>
  <c r="AV157" i="1"/>
  <c r="AU157" i="1"/>
  <c r="AT157" i="1"/>
  <c r="L157" i="2" s="1"/>
  <c r="AS157" i="1"/>
  <c r="AR157" i="1"/>
  <c r="AQ157" i="1"/>
  <c r="AP157" i="1"/>
  <c r="K157" i="2" s="1"/>
  <c r="AO157" i="1"/>
  <c r="AN157" i="1"/>
  <c r="AM157" i="1"/>
  <c r="AL157" i="1"/>
  <c r="J157" i="2" s="1"/>
  <c r="AK157" i="1"/>
  <c r="AJ157" i="1"/>
  <c r="AI157" i="1"/>
  <c r="AH157" i="1"/>
  <c r="I157" i="2" s="1"/>
  <c r="AG157" i="1"/>
  <c r="AF157" i="1"/>
  <c r="AE157" i="1"/>
  <c r="AD157" i="1"/>
  <c r="H157" i="2" s="1"/>
  <c r="AC157" i="1"/>
  <c r="AB157" i="1"/>
  <c r="AA157" i="1"/>
  <c r="Z157" i="1"/>
  <c r="G157" i="2" s="1"/>
  <c r="Y157" i="1"/>
  <c r="X157" i="1"/>
  <c r="W157" i="1"/>
  <c r="V157" i="1"/>
  <c r="F157" i="2" s="1"/>
  <c r="U157" i="1"/>
  <c r="T157" i="1"/>
  <c r="S157" i="1"/>
  <c r="R157" i="1"/>
  <c r="E157" i="2" s="1"/>
  <c r="Q157" i="1"/>
  <c r="P157" i="1"/>
  <c r="O157" i="1"/>
  <c r="N157" i="1"/>
  <c r="D157" i="2" s="1"/>
  <c r="M157" i="1"/>
  <c r="L157" i="1"/>
  <c r="K157" i="1"/>
  <c r="J157" i="1"/>
  <c r="C157" i="2" s="1"/>
  <c r="I157" i="1"/>
  <c r="H157" i="1"/>
  <c r="G157" i="1"/>
  <c r="F157" i="1"/>
  <c r="B157" i="2" s="1"/>
  <c r="E157" i="1"/>
  <c r="D157" i="1"/>
  <c r="C157" i="1"/>
  <c r="BR157" i="1"/>
  <c r="R157" i="2" s="1"/>
  <c r="BN104" i="1"/>
  <c r="Q103" i="2" s="1"/>
  <c r="BJ104" i="1"/>
  <c r="P103" i="2" s="1"/>
  <c r="V103" i="2" s="1"/>
  <c r="BF104" i="1"/>
  <c r="O103" i="2" s="1"/>
  <c r="BB104" i="1"/>
  <c r="N103" i="2" s="1"/>
  <c r="AX104" i="1"/>
  <c r="M103" i="2" s="1"/>
  <c r="AT104" i="1"/>
  <c r="L103" i="2" s="1"/>
  <c r="AP104" i="1"/>
  <c r="K103" i="2" s="1"/>
  <c r="AL104" i="1"/>
  <c r="J103" i="2" s="1"/>
  <c r="AH104" i="1"/>
  <c r="I103" i="2" s="1"/>
  <c r="AD104" i="1"/>
  <c r="H103" i="2" s="1"/>
  <c r="Z104" i="1"/>
  <c r="G103" i="2" s="1"/>
  <c r="V104" i="1"/>
  <c r="F103" i="2" s="1"/>
  <c r="R104" i="1"/>
  <c r="E103" i="2" s="1"/>
  <c r="N104" i="1"/>
  <c r="D103" i="2" s="1"/>
  <c r="J104" i="1"/>
  <c r="C103" i="2" s="1"/>
  <c r="D104" i="1"/>
  <c r="E104" i="1"/>
  <c r="G104" i="1"/>
  <c r="H104" i="1"/>
  <c r="I104" i="1"/>
  <c r="K104" i="1"/>
  <c r="L104" i="1"/>
  <c r="M104" i="1"/>
  <c r="O104" i="1"/>
  <c r="P104" i="1"/>
  <c r="Q104" i="1"/>
  <c r="S104" i="1"/>
  <c r="T104" i="1"/>
  <c r="U104" i="1"/>
  <c r="W104" i="1"/>
  <c r="X104" i="1"/>
  <c r="Y104" i="1"/>
  <c r="AA104" i="1"/>
  <c r="AB104" i="1"/>
  <c r="AC104" i="1"/>
  <c r="AE104" i="1"/>
  <c r="AF104" i="1"/>
  <c r="AG104" i="1"/>
  <c r="AI104" i="1"/>
  <c r="AJ104" i="1"/>
  <c r="AK104" i="1"/>
  <c r="AM104" i="1"/>
  <c r="AN104" i="1"/>
  <c r="AO104" i="1"/>
  <c r="AQ104" i="1"/>
  <c r="AR104" i="1"/>
  <c r="AS104" i="1"/>
  <c r="AU104" i="1"/>
  <c r="AV104" i="1"/>
  <c r="AW104" i="1"/>
  <c r="AY104" i="1"/>
  <c r="AZ104" i="1"/>
  <c r="BA104" i="1"/>
  <c r="BC104" i="1"/>
  <c r="BD104" i="1"/>
  <c r="BE104" i="1"/>
  <c r="BG104" i="1"/>
  <c r="BH104" i="1"/>
  <c r="BI104" i="1"/>
  <c r="BK104" i="1"/>
  <c r="BL104" i="1"/>
  <c r="BM104" i="1"/>
  <c r="BO104" i="1"/>
  <c r="BP104" i="1"/>
  <c r="BQ104" i="1"/>
  <c r="C104" i="1"/>
  <c r="BB101" i="1"/>
  <c r="N100" i="2" s="1"/>
  <c r="BF101" i="1"/>
  <c r="O100" i="2" s="1"/>
  <c r="BJ101" i="1"/>
  <c r="P100" i="2" s="1"/>
  <c r="V100" i="2" s="1"/>
  <c r="BN101" i="1"/>
  <c r="Q100" i="2" s="1"/>
  <c r="BC101" i="1"/>
  <c r="BD101" i="1"/>
  <c r="BE101" i="1"/>
  <c r="BG101" i="1"/>
  <c r="BH101" i="1"/>
  <c r="BI101" i="1"/>
  <c r="BK101" i="1"/>
  <c r="BL101" i="1"/>
  <c r="BM101" i="1"/>
  <c r="BO101" i="1"/>
  <c r="BP101" i="1"/>
  <c r="BQ101" i="1"/>
  <c r="D101" i="1"/>
  <c r="E101" i="1"/>
  <c r="G101" i="1"/>
  <c r="H101" i="1"/>
  <c r="I101" i="1"/>
  <c r="J101" i="1"/>
  <c r="C100" i="2" s="1"/>
  <c r="K101" i="1"/>
  <c r="L101" i="1"/>
  <c r="M101" i="1"/>
  <c r="N101" i="1"/>
  <c r="D100" i="2" s="1"/>
  <c r="O101" i="1"/>
  <c r="P101" i="1"/>
  <c r="Q101" i="1"/>
  <c r="R101" i="1"/>
  <c r="E100" i="2" s="1"/>
  <c r="S101" i="1"/>
  <c r="T101" i="1"/>
  <c r="U101" i="1"/>
  <c r="V101" i="1"/>
  <c r="F100" i="2" s="1"/>
  <c r="W101" i="1"/>
  <c r="X101" i="1"/>
  <c r="Y101" i="1"/>
  <c r="Z101" i="1"/>
  <c r="G100" i="2" s="1"/>
  <c r="AA101" i="1"/>
  <c r="AB101" i="1"/>
  <c r="AC101" i="1"/>
  <c r="AD101" i="1"/>
  <c r="H100" i="2" s="1"/>
  <c r="AE101" i="1"/>
  <c r="AF101" i="1"/>
  <c r="AG101" i="1"/>
  <c r="AH101" i="1"/>
  <c r="I100" i="2" s="1"/>
  <c r="AI101" i="1"/>
  <c r="AJ101" i="1"/>
  <c r="AK101" i="1"/>
  <c r="AL101" i="1"/>
  <c r="J100" i="2" s="1"/>
  <c r="AM101" i="1"/>
  <c r="AN101" i="1"/>
  <c r="AO101" i="1"/>
  <c r="AP101" i="1"/>
  <c r="K100" i="2" s="1"/>
  <c r="AQ101" i="1"/>
  <c r="AR101" i="1"/>
  <c r="AS101" i="1"/>
  <c r="AT101" i="1"/>
  <c r="L100" i="2" s="1"/>
  <c r="AU101" i="1"/>
  <c r="AV101" i="1"/>
  <c r="AW101" i="1"/>
  <c r="AX101" i="1"/>
  <c r="M100" i="2" s="1"/>
  <c r="AY101" i="1"/>
  <c r="AZ101" i="1"/>
  <c r="BA101" i="1"/>
  <c r="C101" i="1"/>
  <c r="D83" i="1"/>
  <c r="E83" i="1"/>
  <c r="G83" i="1"/>
  <c r="H83" i="1"/>
  <c r="I83" i="1"/>
  <c r="K83" i="1"/>
  <c r="L83" i="1"/>
  <c r="M83" i="1"/>
  <c r="O83" i="1"/>
  <c r="P83" i="1"/>
  <c r="Q83" i="1"/>
  <c r="S83" i="1"/>
  <c r="T83" i="1"/>
  <c r="U83" i="1"/>
  <c r="W83" i="1"/>
  <c r="X83" i="1"/>
  <c r="Y83" i="1"/>
  <c r="AA83" i="1"/>
  <c r="AB83" i="1"/>
  <c r="AC83" i="1"/>
  <c r="AE83" i="1"/>
  <c r="AF83" i="1"/>
  <c r="AG83" i="1"/>
  <c r="AI83" i="1"/>
  <c r="AJ83" i="1"/>
  <c r="AK83" i="1"/>
  <c r="AM83" i="1"/>
  <c r="AN83" i="1"/>
  <c r="AO83" i="1"/>
  <c r="AQ83" i="1"/>
  <c r="AR83" i="1"/>
  <c r="AS83" i="1"/>
  <c r="AU83" i="1"/>
  <c r="AV83" i="1"/>
  <c r="AW83" i="1"/>
  <c r="AY83" i="1"/>
  <c r="AZ83" i="1"/>
  <c r="BA83" i="1"/>
  <c r="BC83" i="1"/>
  <c r="BD83" i="1"/>
  <c r="BE83" i="1"/>
  <c r="BG83" i="1"/>
  <c r="BH83" i="1"/>
  <c r="BI83" i="1"/>
  <c r="BL83" i="1"/>
  <c r="BM83" i="1"/>
  <c r="BO83" i="1"/>
  <c r="BP83" i="1"/>
  <c r="BQ83" i="1"/>
  <c r="C83" i="1"/>
  <c r="BR134" i="1"/>
  <c r="BR136" i="1" s="1"/>
  <c r="BR130" i="1"/>
  <c r="BR122" i="1"/>
  <c r="BR73" i="1"/>
  <c r="BR12" i="1"/>
  <c r="BR14" i="1" s="1"/>
  <c r="BQ134" i="1"/>
  <c r="BQ12" i="1"/>
  <c r="BQ14" i="1" s="1"/>
  <c r="BQ73" i="1"/>
  <c r="BQ122" i="1"/>
  <c r="BQ130" i="1"/>
  <c r="BP134" i="1"/>
  <c r="BP130" i="1"/>
  <c r="BP12" i="1"/>
  <c r="BP14" i="1" s="1"/>
  <c r="BP122" i="1"/>
  <c r="BP73" i="1"/>
  <c r="BO12" i="1"/>
  <c r="BO14" i="1" s="1"/>
  <c r="BN12" i="1"/>
  <c r="BN14" i="1" s="1"/>
  <c r="BL12" i="1"/>
  <c r="BL14" i="1" s="1"/>
  <c r="BJ12" i="1"/>
  <c r="BJ14" i="1" s="1"/>
  <c r="BJ122" i="1"/>
  <c r="AZ122" i="1"/>
  <c r="BA122" i="1"/>
  <c r="BB122" i="1"/>
  <c r="BC122" i="1"/>
  <c r="BD122" i="1"/>
  <c r="BE122" i="1"/>
  <c r="BF122" i="1"/>
  <c r="BG122" i="1"/>
  <c r="BH122" i="1"/>
  <c r="BI122" i="1"/>
  <c r="BK122" i="1"/>
  <c r="BL122" i="1"/>
  <c r="BM122" i="1"/>
  <c r="BN122" i="1"/>
  <c r="BO122" i="1"/>
  <c r="AY122" i="1"/>
  <c r="BO73" i="1"/>
  <c r="BO134" i="1"/>
  <c r="BO136" i="1" s="1"/>
  <c r="BO130" i="1"/>
  <c r="BN73" i="1"/>
  <c r="BN134" i="1"/>
  <c r="BN130" i="1"/>
  <c r="D130" i="1"/>
  <c r="E130" i="1"/>
  <c r="F130" i="1"/>
  <c r="G130" i="1"/>
  <c r="H130" i="1"/>
  <c r="I130" i="1"/>
  <c r="J130" i="1"/>
  <c r="K130" i="1"/>
  <c r="L130" i="1"/>
  <c r="M130" i="1"/>
  <c r="N130" i="1"/>
  <c r="O130" i="1"/>
  <c r="P130" i="1"/>
  <c r="Q130" i="1"/>
  <c r="R130" i="1"/>
  <c r="S130" i="1"/>
  <c r="T130" i="1"/>
  <c r="U130" i="1"/>
  <c r="V130" i="1"/>
  <c r="W130" i="1"/>
  <c r="X130" i="1"/>
  <c r="Y130" i="1"/>
  <c r="Z130" i="1"/>
  <c r="AA130" i="1"/>
  <c r="AB130" i="1"/>
  <c r="AC130" i="1"/>
  <c r="AD130" i="1"/>
  <c r="AE130" i="1"/>
  <c r="AF130" i="1"/>
  <c r="AG130" i="1"/>
  <c r="AH130" i="1"/>
  <c r="AI130" i="1"/>
  <c r="AJ130" i="1"/>
  <c r="AK130" i="1"/>
  <c r="AL130" i="1"/>
  <c r="AM130" i="1"/>
  <c r="AN130" i="1"/>
  <c r="AO130" i="1"/>
  <c r="AP130" i="1"/>
  <c r="AQ130" i="1"/>
  <c r="AR130" i="1"/>
  <c r="AS130" i="1"/>
  <c r="AT130" i="1"/>
  <c r="AU130" i="1"/>
  <c r="AV130" i="1"/>
  <c r="AW130" i="1"/>
  <c r="AX130" i="1"/>
  <c r="AY130" i="1"/>
  <c r="AZ130" i="1"/>
  <c r="BA130" i="1"/>
  <c r="BB130" i="1"/>
  <c r="BC130" i="1"/>
  <c r="BD130" i="1"/>
  <c r="BE130" i="1"/>
  <c r="BF130" i="1"/>
  <c r="BG130" i="1"/>
  <c r="BH130" i="1"/>
  <c r="BI130" i="1"/>
  <c r="BJ130" i="1"/>
  <c r="BK130" i="1"/>
  <c r="BL130" i="1"/>
  <c r="BM130" i="1"/>
  <c r="C130" i="1"/>
  <c r="BL37" i="1"/>
  <c r="BL73" i="1" s="1"/>
  <c r="AK71" i="1"/>
  <c r="BM134" i="1"/>
  <c r="BL134" i="1"/>
  <c r="BK134" i="1"/>
  <c r="BK136" i="1" s="1"/>
  <c r="BE134" i="1"/>
  <c r="BH134" i="1"/>
  <c r="BI134" i="1"/>
  <c r="BJ134" i="1"/>
  <c r="BG134" i="1"/>
  <c r="BF134" i="1"/>
  <c r="BD134" i="1"/>
  <c r="BC134" i="1"/>
  <c r="BB134" i="1"/>
  <c r="BA134" i="1"/>
  <c r="AQ134" i="1"/>
  <c r="AR134" i="1"/>
  <c r="AS134" i="1"/>
  <c r="AT134" i="1"/>
  <c r="AU134" i="1"/>
  <c r="AV134" i="1"/>
  <c r="AW134" i="1"/>
  <c r="AX134" i="1"/>
  <c r="AY134" i="1"/>
  <c r="AZ134" i="1"/>
  <c r="B140" i="1"/>
  <c r="BK73" i="1"/>
  <c r="BG123" i="1"/>
  <c r="BR128" i="1"/>
  <c r="BQ71" i="1"/>
  <c r="BO128" i="1"/>
  <c r="BN71" i="1"/>
  <c r="BO71" i="1"/>
  <c r="BP128" i="1"/>
  <c r="BQ128" i="1"/>
  <c r="BP71" i="1"/>
  <c r="BJ71" i="1"/>
  <c r="BK128" i="1"/>
  <c r="AL71" i="1"/>
  <c r="BM71" i="1"/>
  <c r="BN128" i="1"/>
  <c r="AO71" i="1"/>
  <c r="AS71" i="1"/>
  <c r="AW71" i="1"/>
  <c r="BA71" i="1"/>
  <c r="BE71" i="1"/>
  <c r="BI71" i="1"/>
  <c r="AI71" i="1"/>
  <c r="AM71" i="1"/>
  <c r="AQ71" i="1"/>
  <c r="AU71" i="1"/>
  <c r="AY71" i="1"/>
  <c r="BR71" i="1"/>
  <c r="BC71" i="1"/>
  <c r="BG71" i="1"/>
  <c r="BK71" i="1"/>
  <c r="BL71" i="1"/>
  <c r="BH71" i="1"/>
  <c r="BF71" i="1"/>
  <c r="AV71" i="1"/>
  <c r="AT71" i="1"/>
  <c r="BB71" i="1"/>
  <c r="BD71" i="1"/>
  <c r="AP71" i="1"/>
  <c r="AX71" i="1"/>
  <c r="AH71" i="1"/>
  <c r="AN71" i="1"/>
  <c r="AR71" i="1"/>
  <c r="AZ71" i="1"/>
  <c r="AJ71" i="1"/>
  <c r="CA123" i="1"/>
  <c r="CB128" i="1"/>
  <c r="CB136" i="1"/>
  <c r="AW31" i="1" l="1"/>
  <c r="AW39" i="1" s="1"/>
  <c r="AW43" i="1" s="1"/>
  <c r="AW52" i="1" s="1"/>
  <c r="CB14" i="1"/>
  <c r="S28" i="2"/>
  <c r="S29" i="2" s="1"/>
  <c r="Q28" i="2"/>
  <c r="Q29" i="2" s="1"/>
  <c r="R28" i="2"/>
  <c r="R29" i="2" s="1"/>
  <c r="T28" i="2"/>
  <c r="T29" i="2" s="1"/>
  <c r="T31" i="2" s="1"/>
  <c r="T71" i="2" s="1"/>
  <c r="S120" i="2"/>
  <c r="U67" i="2"/>
  <c r="T120" i="2"/>
  <c r="Q120" i="2"/>
  <c r="R120" i="2"/>
  <c r="U120" i="2"/>
  <c r="P122" i="2"/>
  <c r="BT72" i="1"/>
  <c r="BT39" i="1"/>
  <c r="S122" i="2"/>
  <c r="AM31" i="1"/>
  <c r="AM44" i="1" s="1"/>
  <c r="AE31" i="1"/>
  <c r="AE44" i="1" s="1"/>
  <c r="W31" i="1"/>
  <c r="W44" i="1" s="1"/>
  <c r="O31" i="1"/>
  <c r="O54" i="1" s="1"/>
  <c r="G31" i="1"/>
  <c r="G54" i="1" s="1"/>
  <c r="L14" i="2"/>
  <c r="L122" i="2"/>
  <c r="Q118" i="2"/>
  <c r="Q122" i="2"/>
  <c r="R122" i="2"/>
  <c r="T118" i="2"/>
  <c r="T122" i="2"/>
  <c r="V133" i="2"/>
  <c r="U144" i="2"/>
  <c r="V142" i="2"/>
  <c r="P14" i="2"/>
  <c r="V14" i="2" s="1"/>
  <c r="V12" i="2"/>
  <c r="U44" i="2"/>
  <c r="V37" i="2"/>
  <c r="U70" i="2"/>
  <c r="H106" i="2"/>
  <c r="O119" i="2"/>
  <c r="I106" i="2"/>
  <c r="L106" i="2"/>
  <c r="N106" i="2"/>
  <c r="P119" i="2"/>
  <c r="V119" i="2" s="1"/>
  <c r="P121" i="2"/>
  <c r="V121" i="2" s="1"/>
  <c r="B106" i="2"/>
  <c r="J106" i="2"/>
  <c r="Q119" i="2"/>
  <c r="Q121" i="2"/>
  <c r="M106" i="2"/>
  <c r="AZ31" i="1"/>
  <c r="AZ127" i="1" s="1"/>
  <c r="AN31" i="1"/>
  <c r="AN44" i="1" s="1"/>
  <c r="AF31" i="1"/>
  <c r="AB31" i="1"/>
  <c r="AB44" i="1" s="1"/>
  <c r="T31" i="1"/>
  <c r="L31" i="1"/>
  <c r="L44" i="1" s="1"/>
  <c r="H31" i="1"/>
  <c r="H127" i="1" s="1"/>
  <c r="U155" i="2"/>
  <c r="T106" i="2"/>
  <c r="K106" i="2"/>
  <c r="R119" i="2"/>
  <c r="R121" i="2"/>
  <c r="O106" i="2"/>
  <c r="D106" i="2"/>
  <c r="BH31" i="1"/>
  <c r="BH135" i="1" s="1"/>
  <c r="S119" i="2"/>
  <c r="S121" i="2"/>
  <c r="N119" i="2"/>
  <c r="E106" i="2"/>
  <c r="P108" i="2"/>
  <c r="P106" i="2"/>
  <c r="V106" i="2" s="1"/>
  <c r="R108" i="2"/>
  <c r="R106" i="2"/>
  <c r="C106" i="2"/>
  <c r="F106" i="2"/>
  <c r="Q106" i="2"/>
  <c r="G106" i="2"/>
  <c r="S108" i="2"/>
  <c r="S106" i="2"/>
  <c r="T119" i="2"/>
  <c r="T121" i="2"/>
  <c r="BU31" i="1"/>
  <c r="BU39" i="1" s="1"/>
  <c r="BE31" i="1"/>
  <c r="BE72" i="1" s="1"/>
  <c r="AL31" i="1"/>
  <c r="AL44" i="1" s="1"/>
  <c r="K29" i="2"/>
  <c r="BI31" i="1"/>
  <c r="BI54" i="1" s="1"/>
  <c r="AV31" i="1"/>
  <c r="AV39" i="1" s="1"/>
  <c r="AV43" i="1" s="1"/>
  <c r="AV47" i="1" s="1"/>
  <c r="AV56" i="1" s="1"/>
  <c r="AK31" i="1"/>
  <c r="AK44" i="1" s="1"/>
  <c r="AC31" i="1"/>
  <c r="AC44" i="1" s="1"/>
  <c r="U31" i="1"/>
  <c r="U127" i="1" s="1"/>
  <c r="M31" i="1"/>
  <c r="B20" i="2"/>
  <c r="B29" i="2" s="1"/>
  <c r="Q14" i="2"/>
  <c r="S14" i="2"/>
  <c r="R14" i="2"/>
  <c r="AR31" i="1"/>
  <c r="AR44" i="1" s="1"/>
  <c r="AJ31" i="1"/>
  <c r="AJ44" i="1" s="1"/>
  <c r="AD31" i="1"/>
  <c r="AD44" i="1" s="1"/>
  <c r="X31" i="1"/>
  <c r="X44" i="1" s="1"/>
  <c r="P31" i="1"/>
  <c r="P44" i="1" s="1"/>
  <c r="BK31" i="1"/>
  <c r="BM31" i="1"/>
  <c r="BM39" i="1" s="1"/>
  <c r="BV31" i="1"/>
  <c r="BT135" i="1"/>
  <c r="BC31" i="1"/>
  <c r="BC44" i="1" s="1"/>
  <c r="AO31" i="1"/>
  <c r="AO44" i="1" s="1"/>
  <c r="AG31" i="1"/>
  <c r="AG44" i="1" s="1"/>
  <c r="Y31" i="1"/>
  <c r="Q31" i="1"/>
  <c r="Q44" i="1" s="1"/>
  <c r="I31" i="1"/>
  <c r="BD31" i="1"/>
  <c r="BD127" i="1" s="1"/>
  <c r="V31" i="1"/>
  <c r="N31" i="1"/>
  <c r="F31" i="1"/>
  <c r="CA136" i="1"/>
  <c r="BW128" i="1"/>
  <c r="AX14" i="1"/>
  <c r="AX31" i="1" s="1"/>
  <c r="AX72" i="1" s="1"/>
  <c r="AX123" i="1"/>
  <c r="E31" i="1"/>
  <c r="E44" i="1" s="1"/>
  <c r="BZ73" i="1"/>
  <c r="BX31" i="1"/>
  <c r="AY31" i="1"/>
  <c r="AY44" i="1" s="1"/>
  <c r="AU31" i="1"/>
  <c r="AU127" i="1" s="1"/>
  <c r="AQ31" i="1"/>
  <c r="BG31" i="1"/>
  <c r="BG127" i="1" s="1"/>
  <c r="BT44" i="1"/>
  <c r="BS31" i="1"/>
  <c r="BS39" i="1" s="1"/>
  <c r="BY31" i="1"/>
  <c r="BT127" i="1"/>
  <c r="BT53" i="1"/>
  <c r="AA31" i="1"/>
  <c r="AA44" i="1" s="1"/>
  <c r="BJ31" i="1"/>
  <c r="BJ135" i="1" s="1"/>
  <c r="BB31" i="1"/>
  <c r="BB44" i="1" s="1"/>
  <c r="AT31" i="1"/>
  <c r="AT39" i="1" s="1"/>
  <c r="AT43" i="1" s="1"/>
  <c r="AT47" i="1" s="1"/>
  <c r="AP31" i="1"/>
  <c r="AP54" i="1" s="1"/>
  <c r="AH31" i="1"/>
  <c r="AH44" i="1" s="1"/>
  <c r="Z31" i="1"/>
  <c r="R31" i="1"/>
  <c r="R54" i="1" s="1"/>
  <c r="J31" i="1"/>
  <c r="J44" i="1" s="1"/>
  <c r="D31" i="1"/>
  <c r="D54" i="1" s="1"/>
  <c r="S31" i="1"/>
  <c r="S44" i="1" s="1"/>
  <c r="CB144" i="1"/>
  <c r="BT52" i="1"/>
  <c r="BA31" i="1"/>
  <c r="BA44" i="1" s="1"/>
  <c r="AS31" i="1"/>
  <c r="AS54" i="1" s="1"/>
  <c r="AI31" i="1"/>
  <c r="K31" i="1"/>
  <c r="K135" i="1" s="1"/>
  <c r="CC31" i="1"/>
  <c r="CC44" i="1" s="1"/>
  <c r="BH123" i="1"/>
  <c r="AP123" i="1"/>
  <c r="BL123" i="1"/>
  <c r="BV123" i="1"/>
  <c r="K123" i="1"/>
  <c r="AW123" i="1"/>
  <c r="M123" i="1"/>
  <c r="BX123" i="1"/>
  <c r="BO123" i="1"/>
  <c r="AY123" i="1"/>
  <c r="BS123" i="1"/>
  <c r="AZ123" i="1"/>
  <c r="AV123" i="1"/>
  <c r="AJ123" i="1"/>
  <c r="L123" i="1"/>
  <c r="H123" i="1"/>
  <c r="BV37" i="1"/>
  <c r="BV128" i="1" s="1"/>
  <c r="AM123" i="1"/>
  <c r="O12" i="2"/>
  <c r="S143" i="1"/>
  <c r="BY143" i="1"/>
  <c r="D123" i="1"/>
  <c r="BN144" i="1"/>
  <c r="S136" i="1"/>
  <c r="AE123" i="1"/>
  <c r="BW73" i="1"/>
  <c r="BW136" i="1"/>
  <c r="AQ123" i="1"/>
  <c r="O123" i="1"/>
  <c r="G123" i="1"/>
  <c r="C143" i="1"/>
  <c r="K144" i="1"/>
  <c r="AI143" i="1"/>
  <c r="AA143" i="1"/>
  <c r="AX136" i="1"/>
  <c r="BC73" i="1"/>
  <c r="BB123" i="1"/>
  <c r="Z123" i="1"/>
  <c r="AU123" i="1"/>
  <c r="S123" i="1"/>
  <c r="BZ123" i="1"/>
  <c r="V123" i="1"/>
  <c r="U144" i="1"/>
  <c r="AY128" i="1"/>
  <c r="J144" i="1"/>
  <c r="BT123" i="1"/>
  <c r="AK123" i="1"/>
  <c r="R123" i="1"/>
  <c r="BI144" i="1"/>
  <c r="O67" i="2"/>
  <c r="BA143" i="1"/>
  <c r="F123" i="1"/>
  <c r="AG123" i="1"/>
  <c r="AU143" i="1"/>
  <c r="BS144" i="1"/>
  <c r="BY123" i="1"/>
  <c r="BF136" i="1"/>
  <c r="Q128" i="1"/>
  <c r="W143" i="1"/>
  <c r="BT143" i="1"/>
  <c r="I123" i="1"/>
  <c r="BE136" i="1"/>
  <c r="BF128" i="1"/>
  <c r="AG128" i="1"/>
  <c r="Y136" i="1"/>
  <c r="AS123" i="1"/>
  <c r="U136" i="1"/>
  <c r="BB143" i="1"/>
  <c r="N143" i="1"/>
  <c r="BC143" i="1"/>
  <c r="I128" i="1"/>
  <c r="BU143" i="1"/>
  <c r="AM144" i="1"/>
  <c r="BJ123" i="1"/>
  <c r="Y123" i="1"/>
  <c r="AE144" i="1"/>
  <c r="BK144" i="1"/>
  <c r="AK73" i="1"/>
  <c r="AF128" i="1"/>
  <c r="J136" i="1"/>
  <c r="V143" i="1"/>
  <c r="AL144" i="1"/>
  <c r="D143" i="1"/>
  <c r="AC136" i="1"/>
  <c r="AS136" i="1"/>
  <c r="BJ144" i="1"/>
  <c r="BR144" i="1"/>
  <c r="AK136" i="1"/>
  <c r="V128" i="1"/>
  <c r="AX128" i="1"/>
  <c r="BP136" i="1"/>
  <c r="AV128" i="1"/>
  <c r="BE73" i="1"/>
  <c r="BD143" i="1"/>
  <c r="H144" i="1"/>
  <c r="AV144" i="1"/>
  <c r="BJ73" i="1"/>
  <c r="BJ136" i="1"/>
  <c r="AN136" i="1"/>
  <c r="AF143" i="1"/>
  <c r="P143" i="1"/>
  <c r="AN73" i="1"/>
  <c r="P128" i="1"/>
  <c r="BE128" i="1"/>
  <c r="AN143" i="1"/>
  <c r="AV136" i="1"/>
  <c r="C108" i="2"/>
  <c r="L140" i="2"/>
  <c r="L144" i="2" s="1"/>
  <c r="R144" i="1"/>
  <c r="BT128" i="1"/>
  <c r="AY136" i="1"/>
  <c r="CC143" i="1"/>
  <c r="AP143" i="1"/>
  <c r="Z144" i="1"/>
  <c r="E108" i="2"/>
  <c r="AM73" i="1"/>
  <c r="BD128" i="1"/>
  <c r="AM128" i="1"/>
  <c r="AX143" i="1"/>
  <c r="BF144" i="1"/>
  <c r="AB123" i="1"/>
  <c r="H108" i="2"/>
  <c r="AA136" i="1"/>
  <c r="BI123" i="1"/>
  <c r="BM136" i="1"/>
  <c r="BQ123" i="1"/>
  <c r="AX73" i="1"/>
  <c r="BB136" i="1"/>
  <c r="BC136" i="1"/>
  <c r="L143" i="1"/>
  <c r="Z136" i="1"/>
  <c r="BB73" i="1"/>
  <c r="R128" i="1"/>
  <c r="BN123" i="1"/>
  <c r="AZ143" i="1"/>
  <c r="BZ136" i="1"/>
  <c r="BN136" i="1"/>
  <c r="O155" i="2"/>
  <c r="BX73" i="1"/>
  <c r="H140" i="2"/>
  <c r="H144" i="2" s="1"/>
  <c r="F12" i="2"/>
  <c r="F122" i="2" s="1"/>
  <c r="BD123" i="1"/>
  <c r="BZ128" i="1"/>
  <c r="BX128" i="1"/>
  <c r="BR123" i="1"/>
  <c r="BP123" i="1"/>
  <c r="G128" i="1"/>
  <c r="BT136" i="1"/>
  <c r="BE144" i="1"/>
  <c r="Y144" i="1"/>
  <c r="BA73" i="1"/>
  <c r="O128" i="1"/>
  <c r="Q67" i="2"/>
  <c r="AO143" i="1"/>
  <c r="AW144" i="1"/>
  <c r="K67" i="2"/>
  <c r="BH136" i="1"/>
  <c r="BD136" i="1"/>
  <c r="BA136" i="1"/>
  <c r="R109" i="2"/>
  <c r="BI136" i="1"/>
  <c r="BF123" i="1"/>
  <c r="AH123" i="1"/>
  <c r="BU128" i="1"/>
  <c r="O110" i="2"/>
  <c r="BI73" i="1"/>
  <c r="BQ136" i="1"/>
  <c r="BF44" i="1"/>
  <c r="BU136" i="1"/>
  <c r="I144" i="1"/>
  <c r="G87" i="2"/>
  <c r="G107" i="2" s="1"/>
  <c r="BT54" i="1"/>
  <c r="BT73" i="1"/>
  <c r="T110" i="2"/>
  <c r="M140" i="2"/>
  <c r="M144" i="2" s="1"/>
  <c r="BM128" i="1"/>
  <c r="AS73" i="1"/>
  <c r="T144" i="1"/>
  <c r="BH128" i="1"/>
  <c r="AT123" i="1"/>
  <c r="O109" i="2"/>
  <c r="L108" i="2"/>
  <c r="C123" i="1"/>
  <c r="AR143" i="1"/>
  <c r="AH136" i="1"/>
  <c r="D136" i="1"/>
  <c r="AL128" i="1"/>
  <c r="BW143" i="1"/>
  <c r="AC143" i="1"/>
  <c r="G143" i="1"/>
  <c r="AA123" i="1"/>
  <c r="AQ143" i="1"/>
  <c r="AY144" i="1"/>
  <c r="AP73" i="1"/>
  <c r="U109" i="2"/>
  <c r="E128" i="1"/>
  <c r="AK144" i="1"/>
  <c r="L128" i="1"/>
  <c r="AL73" i="1"/>
  <c r="BL128" i="1"/>
  <c r="M143" i="1"/>
  <c r="BG143" i="1"/>
  <c r="BZ144" i="1"/>
  <c r="CC123" i="1"/>
  <c r="BW123" i="1"/>
  <c r="AW73" i="1"/>
  <c r="F144" i="1"/>
  <c r="AD128" i="1"/>
  <c r="P123" i="1"/>
  <c r="X123" i="1"/>
  <c r="AW136" i="1"/>
  <c r="BV143" i="1"/>
  <c r="AH128" i="1"/>
  <c r="I140" i="2"/>
  <c r="I144" i="2" s="1"/>
  <c r="AJ144" i="1"/>
  <c r="BO144" i="1"/>
  <c r="BX144" i="1"/>
  <c r="BP143" i="1"/>
  <c r="AB143" i="1"/>
  <c r="AP136" i="1"/>
  <c r="X128" i="1"/>
  <c r="AD123" i="1"/>
  <c r="Q110" i="2"/>
  <c r="AT136" i="1"/>
  <c r="R87" i="2"/>
  <c r="T37" i="2"/>
  <c r="T135" i="2" s="1"/>
  <c r="E87" i="2"/>
  <c r="E107" i="2" s="1"/>
  <c r="D12" i="2"/>
  <c r="F37" i="2"/>
  <c r="F135" i="2" s="1"/>
  <c r="I37" i="2"/>
  <c r="I127" i="2" s="1"/>
  <c r="K12" i="2"/>
  <c r="K122" i="2" s="1"/>
  <c r="N87" i="2"/>
  <c r="N107" i="2" s="1"/>
  <c r="S87" i="2"/>
  <c r="O37" i="2"/>
  <c r="S37" i="2"/>
  <c r="P67" i="2"/>
  <c r="H129" i="2"/>
  <c r="J123" i="1"/>
  <c r="AQ128" i="1"/>
  <c r="Q144" i="1"/>
  <c r="F128" i="1"/>
  <c r="T109" i="2"/>
  <c r="CA143" i="1"/>
  <c r="AD143" i="1"/>
  <c r="AJ136" i="1"/>
  <c r="N67" i="2"/>
  <c r="X144" i="1"/>
  <c r="AT73" i="1"/>
  <c r="BE123" i="1"/>
  <c r="AN123" i="1"/>
  <c r="Q109" i="2"/>
  <c r="N109" i="2"/>
  <c r="U110" i="2"/>
  <c r="E123" i="1"/>
  <c r="M128" i="1"/>
  <c r="BC123" i="1"/>
  <c r="Q123" i="1"/>
  <c r="R110" i="2"/>
  <c r="P109" i="2"/>
  <c r="N110" i="2"/>
  <c r="J12" i="2"/>
  <c r="J122" i="2" s="1"/>
  <c r="C128" i="1"/>
  <c r="N129" i="2"/>
  <c r="B87" i="2"/>
  <c r="B107" i="2" s="1"/>
  <c r="AJ128" i="1"/>
  <c r="AT128" i="1"/>
  <c r="BU123" i="1"/>
  <c r="AS143" i="1"/>
  <c r="T123" i="1"/>
  <c r="BA123" i="1"/>
  <c r="BM123" i="1"/>
  <c r="AQ136" i="1"/>
  <c r="G129" i="2"/>
  <c r="S109" i="2"/>
  <c r="R129" i="2"/>
  <c r="BL136" i="1"/>
  <c r="O140" i="2"/>
  <c r="O144" i="2" s="1"/>
  <c r="G12" i="2"/>
  <c r="G122" i="2" s="1"/>
  <c r="D155" i="2"/>
  <c r="C12" i="2"/>
  <c r="C122" i="2" s="1"/>
  <c r="G108" i="2"/>
  <c r="G29" i="2"/>
  <c r="M20" i="2"/>
  <c r="M29" i="2" s="1"/>
  <c r="N37" i="2"/>
  <c r="O129" i="2"/>
  <c r="I129" i="2"/>
  <c r="D129" i="2"/>
  <c r="T155" i="2"/>
  <c r="D108" i="2"/>
  <c r="G37" i="2"/>
  <c r="G127" i="2" s="1"/>
  <c r="M12" i="2"/>
  <c r="M122" i="2" s="1"/>
  <c r="K129" i="2"/>
  <c r="T140" i="2"/>
  <c r="T144" i="2" s="1"/>
  <c r="I142" i="2"/>
  <c r="N20" i="2"/>
  <c r="N29" i="2" s="1"/>
  <c r="M142" i="2"/>
  <c r="B140" i="2"/>
  <c r="B144" i="2" s="1"/>
  <c r="E140" i="2"/>
  <c r="E144" i="2" s="1"/>
  <c r="I87" i="2"/>
  <c r="P87" i="2"/>
  <c r="P107" i="2" s="1"/>
  <c r="V107" i="2" s="1"/>
  <c r="P140" i="2"/>
  <c r="F140" i="2"/>
  <c r="F144" i="2" s="1"/>
  <c r="E37" i="2"/>
  <c r="E135" i="2" s="1"/>
  <c r="J37" i="2"/>
  <c r="J135" i="2" s="1"/>
  <c r="L37" i="2"/>
  <c r="M87" i="2"/>
  <c r="M70" i="2" s="1"/>
  <c r="C129" i="2"/>
  <c r="P129" i="2"/>
  <c r="V129" i="2" s="1"/>
  <c r="H87" i="2"/>
  <c r="H155" i="2"/>
  <c r="F155" i="2"/>
  <c r="S67" i="2"/>
  <c r="S129" i="2"/>
  <c r="M129" i="2"/>
  <c r="R96" i="2"/>
  <c r="L155" i="2"/>
  <c r="K87" i="2"/>
  <c r="K70" i="2" s="1"/>
  <c r="T108" i="2"/>
  <c r="O96" i="2"/>
  <c r="D37" i="2"/>
  <c r="D135" i="2" s="1"/>
  <c r="K155" i="2"/>
  <c r="N155" i="2"/>
  <c r="Q87" i="2"/>
  <c r="Q70" i="2" s="1"/>
  <c r="K108" i="2"/>
  <c r="E155" i="2"/>
  <c r="F142" i="2"/>
  <c r="M155" i="2"/>
  <c r="B108" i="2"/>
  <c r="F20" i="2"/>
  <c r="F29" i="2" s="1"/>
  <c r="I20" i="2"/>
  <c r="I29" i="2" s="1"/>
  <c r="O20" i="2"/>
  <c r="O29" i="2" s="1"/>
  <c r="T67" i="2"/>
  <c r="S155" i="2"/>
  <c r="K140" i="2"/>
  <c r="U39" i="2"/>
  <c r="U43" i="2" s="1"/>
  <c r="U54" i="2"/>
  <c r="M37" i="2"/>
  <c r="M135" i="2" s="1"/>
  <c r="P155" i="2"/>
  <c r="O108" i="2"/>
  <c r="C20" i="2"/>
  <c r="C29" i="2" s="1"/>
  <c r="E20" i="2"/>
  <c r="E29" i="2" s="1"/>
  <c r="H20" i="2"/>
  <c r="H29" i="2" s="1"/>
  <c r="L20" i="2"/>
  <c r="L29" i="2" s="1"/>
  <c r="L31" i="2" s="1"/>
  <c r="B12" i="2"/>
  <c r="R155" i="2"/>
  <c r="P20" i="2"/>
  <c r="V20" i="2" s="1"/>
  <c r="D20" i="2"/>
  <c r="D29" i="2" s="1"/>
  <c r="M108" i="2"/>
  <c r="B37" i="2"/>
  <c r="B135" i="2" s="1"/>
  <c r="S140" i="2"/>
  <c r="C37" i="2"/>
  <c r="C127" i="2" s="1"/>
  <c r="E12" i="2"/>
  <c r="E122" i="2" s="1"/>
  <c r="H37" i="2"/>
  <c r="H127" i="2" s="1"/>
  <c r="J20" i="2"/>
  <c r="J29" i="2" s="1"/>
  <c r="G155" i="2"/>
  <c r="J140" i="2"/>
  <c r="J144" i="2" s="1"/>
  <c r="N140" i="2"/>
  <c r="N144" i="2" s="1"/>
  <c r="C140" i="2"/>
  <c r="C144" i="2" s="1"/>
  <c r="G140" i="2"/>
  <c r="G144" i="2" s="1"/>
  <c r="B129" i="2"/>
  <c r="I12" i="2"/>
  <c r="I122" i="2" s="1"/>
  <c r="N108" i="2"/>
  <c r="S96" i="2"/>
  <c r="Q129" i="2"/>
  <c r="P96" i="2"/>
  <c r="V96" i="2" s="1"/>
  <c r="J155" i="2"/>
  <c r="K37" i="2"/>
  <c r="K127" i="2" s="1"/>
  <c r="O87" i="2"/>
  <c r="O70" i="2" s="1"/>
  <c r="E129" i="2"/>
  <c r="CC136" i="1"/>
  <c r="U135" i="2"/>
  <c r="U72" i="2"/>
  <c r="V72" i="2" s="1"/>
  <c r="U127" i="2"/>
  <c r="V127" i="2" s="1"/>
  <c r="U145" i="2"/>
  <c r="Q108" i="2"/>
  <c r="Q140" i="2"/>
  <c r="J142" i="2"/>
  <c r="J129" i="2"/>
  <c r="C87" i="2"/>
  <c r="Q96" i="2"/>
  <c r="H12" i="2"/>
  <c r="J108" i="2"/>
  <c r="N12" i="2"/>
  <c r="N122" i="2" s="1"/>
  <c r="T96" i="2"/>
  <c r="L129" i="2"/>
  <c r="F108" i="2"/>
  <c r="D140" i="2"/>
  <c r="D144" i="2" s="1"/>
  <c r="M67" i="2"/>
  <c r="J87" i="2"/>
  <c r="P135" i="2"/>
  <c r="I108" i="2"/>
  <c r="L87" i="2"/>
  <c r="Q155" i="2"/>
  <c r="I155" i="2"/>
  <c r="F129" i="2"/>
  <c r="CC73" i="1"/>
  <c r="F87" i="2"/>
  <c r="AL123" i="1"/>
  <c r="K136" i="1"/>
  <c r="K128" i="1"/>
  <c r="T136" i="1"/>
  <c r="T128" i="1"/>
  <c r="AU128" i="1"/>
  <c r="AU136" i="1"/>
  <c r="AU73" i="1"/>
  <c r="AR73" i="1"/>
  <c r="AR128" i="1"/>
  <c r="AR136" i="1"/>
  <c r="AO123" i="1"/>
  <c r="BQ144" i="1"/>
  <c r="BQ143" i="1"/>
  <c r="D82" i="2"/>
  <c r="T82" i="2"/>
  <c r="L67" i="2"/>
  <c r="E143" i="1"/>
  <c r="E144" i="1"/>
  <c r="BH143" i="1"/>
  <c r="BH144" i="1"/>
  <c r="BM144" i="1"/>
  <c r="BM143" i="1"/>
  <c r="AZ128" i="1"/>
  <c r="AZ73" i="1"/>
  <c r="AZ136" i="1"/>
  <c r="BY73" i="1"/>
  <c r="BY128" i="1"/>
  <c r="R142" i="2"/>
  <c r="R140" i="2"/>
  <c r="BY136" i="1"/>
  <c r="H136" i="1"/>
  <c r="H128" i="1"/>
  <c r="AR123" i="1"/>
  <c r="N128" i="1"/>
  <c r="N136" i="1"/>
  <c r="BL143" i="1"/>
  <c r="BL144" i="1"/>
  <c r="U123" i="1"/>
  <c r="N123" i="1"/>
  <c r="AT143" i="1"/>
  <c r="AT144" i="1"/>
  <c r="BK123" i="1"/>
  <c r="AC123" i="1"/>
  <c r="CB123" i="1"/>
  <c r="BG73" i="1"/>
  <c r="BG136" i="1"/>
  <c r="AF123" i="1"/>
  <c r="AB136" i="1"/>
  <c r="W136" i="1"/>
  <c r="W128" i="1"/>
  <c r="CA128" i="1"/>
  <c r="CA73" i="1"/>
  <c r="P110" i="2"/>
  <c r="R67" i="2"/>
  <c r="AG143" i="1"/>
  <c r="AG144" i="1"/>
  <c r="AI136" i="1"/>
  <c r="AI73" i="1"/>
  <c r="AI128" i="1"/>
  <c r="AE136" i="1"/>
  <c r="AE128" i="1"/>
  <c r="W123" i="1"/>
  <c r="O144" i="1"/>
  <c r="O143" i="1"/>
  <c r="AH143" i="1"/>
  <c r="AH144" i="1"/>
  <c r="AO128" i="1"/>
  <c r="AO136" i="1"/>
  <c r="AI123" i="1"/>
  <c r="S110" i="2"/>
  <c r="AK54" i="1" l="1"/>
  <c r="CB31" i="1"/>
  <c r="BE54" i="1"/>
  <c r="AK72" i="1"/>
  <c r="BV39" i="1"/>
  <c r="U44" i="1"/>
  <c r="AK135" i="1"/>
  <c r="U39" i="1"/>
  <c r="U43" i="1" s="1"/>
  <c r="U47" i="1" s="1"/>
  <c r="AK39" i="1"/>
  <c r="AK43" i="1" s="1"/>
  <c r="AK47" i="1" s="1"/>
  <c r="O121" i="2"/>
  <c r="O122" i="2"/>
  <c r="B14" i="2"/>
  <c r="B31" i="2" s="1"/>
  <c r="B122" i="2"/>
  <c r="H14" i="2"/>
  <c r="H31" i="2" s="1"/>
  <c r="H122" i="2"/>
  <c r="D14" i="2"/>
  <c r="D31" i="2" s="1"/>
  <c r="D44" i="2" s="1"/>
  <c r="D122" i="2"/>
  <c r="V110" i="2"/>
  <c r="V122" i="2"/>
  <c r="V87" i="2"/>
  <c r="V135" i="2"/>
  <c r="U49" i="2"/>
  <c r="V140" i="2"/>
  <c r="U135" i="1"/>
  <c r="S31" i="2"/>
  <c r="Q31" i="2"/>
  <c r="R31" i="2"/>
  <c r="N14" i="2"/>
  <c r="N121" i="2"/>
  <c r="K107" i="2"/>
  <c r="T134" i="2"/>
  <c r="T126" i="2"/>
  <c r="P29" i="2"/>
  <c r="L126" i="2"/>
  <c r="L71" i="2"/>
  <c r="L134" i="2"/>
  <c r="L44" i="2"/>
  <c r="U54" i="1"/>
  <c r="AU54" i="1"/>
  <c r="BG135" i="1"/>
  <c r="F14" i="2"/>
  <c r="E14" i="2"/>
  <c r="J14" i="2"/>
  <c r="K14" i="2"/>
  <c r="M14" i="2"/>
  <c r="I14" i="2"/>
  <c r="C14" i="2"/>
  <c r="O14" i="2"/>
  <c r="G14" i="2"/>
  <c r="BG54" i="1"/>
  <c r="BG44" i="1"/>
  <c r="BG39" i="1"/>
  <c r="BG43" i="1" s="1"/>
  <c r="BG47" i="1" s="1"/>
  <c r="BG55" i="1" s="1"/>
  <c r="BG72" i="1"/>
  <c r="BM44" i="1"/>
  <c r="BL31" i="1"/>
  <c r="BK44" i="1"/>
  <c r="BS44" i="1"/>
  <c r="AU44" i="1"/>
  <c r="BJ39" i="1"/>
  <c r="BJ43" i="1" s="1"/>
  <c r="BJ47" i="1" s="1"/>
  <c r="BJ53" i="1" s="1"/>
  <c r="AU135" i="1"/>
  <c r="AU72" i="1"/>
  <c r="AU39" i="1"/>
  <c r="AU43" i="1" s="1"/>
  <c r="AU47" i="1" s="1"/>
  <c r="AU55" i="1" s="1"/>
  <c r="BJ54" i="1"/>
  <c r="C31" i="1"/>
  <c r="D135" i="1"/>
  <c r="BJ44" i="1"/>
  <c r="BS54" i="1"/>
  <c r="BS135" i="1"/>
  <c r="BS52" i="1"/>
  <c r="BS53" i="1"/>
  <c r="BS127" i="1"/>
  <c r="BS72" i="1"/>
  <c r="BO31" i="1"/>
  <c r="BO39" i="1" s="1"/>
  <c r="BQ31" i="1"/>
  <c r="BQ39" i="1" s="1"/>
  <c r="BP31" i="1"/>
  <c r="BP39" i="1" s="1"/>
  <c r="BR31" i="1"/>
  <c r="BR39" i="1" s="1"/>
  <c r="BN31" i="1"/>
  <c r="BN39" i="1" s="1"/>
  <c r="BJ127" i="1"/>
  <c r="BJ72" i="1"/>
  <c r="BE135" i="1"/>
  <c r="BE39" i="1"/>
  <c r="BE43" i="1" s="1"/>
  <c r="BE47" i="1" s="1"/>
  <c r="D44" i="1"/>
  <c r="AK127" i="1"/>
  <c r="D127" i="1"/>
  <c r="D39" i="1"/>
  <c r="D43" i="1" s="1"/>
  <c r="D129" i="1" s="1"/>
  <c r="BE44" i="1"/>
  <c r="BE127" i="1"/>
  <c r="BV73" i="1"/>
  <c r="BV136" i="1"/>
  <c r="AE127" i="1"/>
  <c r="AE39" i="1"/>
  <c r="AE43" i="1" s="1"/>
  <c r="AE47" i="1" s="1"/>
  <c r="AE54" i="1"/>
  <c r="AE135" i="1"/>
  <c r="AX127" i="1"/>
  <c r="AX54" i="1"/>
  <c r="AX135" i="1"/>
  <c r="AR127" i="1"/>
  <c r="K127" i="1"/>
  <c r="AX39" i="1"/>
  <c r="AX43" i="1" s="1"/>
  <c r="AX47" i="1" s="1"/>
  <c r="AX44" i="1"/>
  <c r="I44" i="1"/>
  <c r="K44" i="1"/>
  <c r="AZ54" i="1"/>
  <c r="K39" i="1"/>
  <c r="K43" i="1" s="1"/>
  <c r="K137" i="1" s="1"/>
  <c r="K54" i="1"/>
  <c r="AH39" i="1"/>
  <c r="AH43" i="1" s="1"/>
  <c r="AH47" i="1" s="1"/>
  <c r="AH127" i="1"/>
  <c r="Y39" i="1"/>
  <c r="Y43" i="1" s="1"/>
  <c r="Y129" i="1" s="1"/>
  <c r="F44" i="1"/>
  <c r="AR39" i="1"/>
  <c r="AR43" i="1" s="1"/>
  <c r="AR47" i="1" s="1"/>
  <c r="AR55" i="1" s="1"/>
  <c r="BD39" i="1"/>
  <c r="BD43" i="1" s="1"/>
  <c r="BD137" i="1" s="1"/>
  <c r="O135" i="2"/>
  <c r="H39" i="1"/>
  <c r="H43" i="1" s="1"/>
  <c r="H46" i="1" s="1"/>
  <c r="H49" i="1" s="1"/>
  <c r="AJ39" i="1"/>
  <c r="AJ43" i="1" s="1"/>
  <c r="AJ47" i="1" s="1"/>
  <c r="BH44" i="1"/>
  <c r="M135" i="1"/>
  <c r="M39" i="1"/>
  <c r="M43" i="1" s="1"/>
  <c r="M46" i="1" s="1"/>
  <c r="M49" i="1" s="1"/>
  <c r="AR135" i="1"/>
  <c r="AR54" i="1"/>
  <c r="N54" i="1"/>
  <c r="AR72" i="1"/>
  <c r="AZ72" i="1"/>
  <c r="AZ44" i="1"/>
  <c r="AZ135" i="1"/>
  <c r="AJ54" i="1"/>
  <c r="AZ39" i="1"/>
  <c r="AZ43" i="1" s="1"/>
  <c r="AZ47" i="1" s="1"/>
  <c r="AW135" i="1"/>
  <c r="BD44" i="1"/>
  <c r="AW127" i="1"/>
  <c r="AW72" i="1"/>
  <c r="BD54" i="1"/>
  <c r="AW44" i="1"/>
  <c r="AW54" i="1"/>
  <c r="BD72" i="1"/>
  <c r="BD135" i="1"/>
  <c r="AD39" i="1"/>
  <c r="AD43" i="1" s="1"/>
  <c r="AD47" i="1" s="1"/>
  <c r="AV74" i="1"/>
  <c r="J135" i="1"/>
  <c r="J127" i="1"/>
  <c r="M127" i="1"/>
  <c r="R127" i="1"/>
  <c r="AA39" i="1"/>
  <c r="AA43" i="1" s="1"/>
  <c r="AA47" i="1" s="1"/>
  <c r="AA53" i="1" s="1"/>
  <c r="AJ72" i="1"/>
  <c r="R39" i="1"/>
  <c r="R43" i="1" s="1"/>
  <c r="R46" i="1" s="1"/>
  <c r="R49" i="1" s="1"/>
  <c r="R135" i="1"/>
  <c r="N70" i="2"/>
  <c r="J39" i="1"/>
  <c r="J43" i="1" s="1"/>
  <c r="J137" i="1" s="1"/>
  <c r="AV54" i="1"/>
  <c r="BH39" i="1"/>
  <c r="BH43" i="1" s="1"/>
  <c r="BH129" i="1" s="1"/>
  <c r="BB54" i="1"/>
  <c r="O135" i="1"/>
  <c r="I135" i="2"/>
  <c r="BH54" i="1"/>
  <c r="O127" i="2"/>
  <c r="G127" i="1"/>
  <c r="H135" i="1"/>
  <c r="AD135" i="1"/>
  <c r="AM72" i="1"/>
  <c r="G135" i="1"/>
  <c r="AS39" i="1"/>
  <c r="AS43" i="1" s="1"/>
  <c r="R44" i="1"/>
  <c r="AM127" i="1"/>
  <c r="G44" i="1"/>
  <c r="G39" i="1"/>
  <c r="G43" i="1" s="1"/>
  <c r="G137" i="1" s="1"/>
  <c r="AM54" i="1"/>
  <c r="BF135" i="1"/>
  <c r="O39" i="1"/>
  <c r="O43" i="1" s="1"/>
  <c r="O129" i="1" s="1"/>
  <c r="AH135" i="1"/>
  <c r="BB127" i="1"/>
  <c r="AV52" i="1"/>
  <c r="BM43" i="1"/>
  <c r="BM47" i="1" s="1"/>
  <c r="L72" i="2"/>
  <c r="AM39" i="1"/>
  <c r="AM43" i="1" s="1"/>
  <c r="AM52" i="1" s="1"/>
  <c r="H145" i="2"/>
  <c r="AA54" i="1"/>
  <c r="AV44" i="1"/>
  <c r="AV135" i="1"/>
  <c r="AV55" i="1"/>
  <c r="AV137" i="1"/>
  <c r="AV53" i="1"/>
  <c r="AA135" i="1"/>
  <c r="AA127" i="1"/>
  <c r="Q54" i="1"/>
  <c r="AV129" i="1"/>
  <c r="AV127" i="1"/>
  <c r="AM135" i="1"/>
  <c r="AV57" i="1"/>
  <c r="BH72" i="1"/>
  <c r="BH127" i="1"/>
  <c r="AV49" i="1"/>
  <c r="AV72" i="1"/>
  <c r="AT54" i="1"/>
  <c r="Q39" i="1"/>
  <c r="Q43" i="1" s="1"/>
  <c r="Q46" i="1" s="1"/>
  <c r="Q49" i="1" s="1"/>
  <c r="S127" i="2"/>
  <c r="Q127" i="1"/>
  <c r="Q135" i="1"/>
  <c r="M44" i="1"/>
  <c r="O72" i="2"/>
  <c r="M54" i="1"/>
  <c r="Q107" i="2"/>
  <c r="B145" i="2"/>
  <c r="S72" i="2"/>
  <c r="S135" i="2"/>
  <c r="BB72" i="1"/>
  <c r="H107" i="2"/>
  <c r="BB135" i="1"/>
  <c r="AS127" i="1"/>
  <c r="BB39" i="1"/>
  <c r="BB43" i="1" s="1"/>
  <c r="BB49" i="1" s="1"/>
  <c r="AS135" i="1"/>
  <c r="AJ135" i="1"/>
  <c r="AS44" i="1"/>
  <c r="AJ127" i="1"/>
  <c r="AS72" i="1"/>
  <c r="BF72" i="1"/>
  <c r="AW137" i="1"/>
  <c r="AH54" i="1"/>
  <c r="AW49" i="1"/>
  <c r="I145" i="2"/>
  <c r="AG54" i="1"/>
  <c r="AW74" i="1"/>
  <c r="AG135" i="1"/>
  <c r="AG127" i="1"/>
  <c r="BF54" i="1"/>
  <c r="BF127" i="1"/>
  <c r="AG39" i="1"/>
  <c r="AG43" i="1" s="1"/>
  <c r="AG47" i="1" s="1"/>
  <c r="L135" i="1"/>
  <c r="BF39" i="1"/>
  <c r="BF43" i="1" s="1"/>
  <c r="BF74" i="1" s="1"/>
  <c r="BI72" i="1"/>
  <c r="I70" i="2"/>
  <c r="BI135" i="1"/>
  <c r="E145" i="2"/>
  <c r="I107" i="2"/>
  <c r="BI127" i="1"/>
  <c r="AB135" i="1"/>
  <c r="BI39" i="1"/>
  <c r="BI43" i="1" s="1"/>
  <c r="BI129" i="1" s="1"/>
  <c r="J145" i="2"/>
  <c r="AB127" i="1"/>
  <c r="BI44" i="1"/>
  <c r="AB39" i="1"/>
  <c r="AB43" i="1" s="1"/>
  <c r="AB137" i="1" s="1"/>
  <c r="L39" i="2"/>
  <c r="N135" i="2"/>
  <c r="L127" i="2"/>
  <c r="AB54" i="1"/>
  <c r="AW47" i="1"/>
  <c r="AW55" i="1" s="1"/>
  <c r="AW129" i="1"/>
  <c r="P70" i="2"/>
  <c r="V70" i="2" s="1"/>
  <c r="J127" i="2"/>
  <c r="J72" i="2"/>
  <c r="T54" i="1"/>
  <c r="T44" i="1"/>
  <c r="B127" i="2"/>
  <c r="C135" i="2"/>
  <c r="AQ54" i="1"/>
  <c r="AQ44" i="1"/>
  <c r="L54" i="1"/>
  <c r="AP39" i="1"/>
  <c r="AP43" i="1" s="1"/>
  <c r="AP44" i="1"/>
  <c r="AP127" i="1"/>
  <c r="AP135" i="1"/>
  <c r="AP72" i="1"/>
  <c r="H44" i="1"/>
  <c r="H54" i="1"/>
  <c r="O127" i="1"/>
  <c r="O44" i="1"/>
  <c r="L54" i="2"/>
  <c r="J54" i="1"/>
  <c r="BM127" i="1"/>
  <c r="L127" i="1"/>
  <c r="AT44" i="1"/>
  <c r="AT135" i="1"/>
  <c r="AT72" i="1"/>
  <c r="AT127" i="1"/>
  <c r="L135" i="2"/>
  <c r="L39" i="1"/>
  <c r="L43" i="1" s="1"/>
  <c r="T87" i="2"/>
  <c r="F127" i="2"/>
  <c r="P145" i="2"/>
  <c r="V145" i="2" s="1"/>
  <c r="P144" i="2"/>
  <c r="V144" i="2" s="1"/>
  <c r="G145" i="2"/>
  <c r="BM72" i="1"/>
  <c r="BM54" i="1"/>
  <c r="BM135" i="1"/>
  <c r="AT137" i="1"/>
  <c r="AT74" i="1"/>
  <c r="AT129" i="1"/>
  <c r="AT52" i="1"/>
  <c r="AT49" i="1"/>
  <c r="K135" i="2"/>
  <c r="E127" i="2"/>
  <c r="AY72" i="1"/>
  <c r="AY135" i="1"/>
  <c r="AY127" i="1"/>
  <c r="AY54" i="1"/>
  <c r="AY39" i="1"/>
  <c r="AY43" i="1" s="1"/>
  <c r="AY47" i="1" s="1"/>
  <c r="AD54" i="1"/>
  <c r="AD127" i="1"/>
  <c r="BA72" i="1"/>
  <c r="BA127" i="1"/>
  <c r="BA135" i="1"/>
  <c r="BA39" i="1"/>
  <c r="BA43" i="1" s="1"/>
  <c r="BA47" i="1" s="1"/>
  <c r="BA54" i="1"/>
  <c r="BG129" i="1"/>
  <c r="E135" i="1"/>
  <c r="E54" i="1"/>
  <c r="E127" i="1"/>
  <c r="E39" i="1"/>
  <c r="E43" i="1" s="1"/>
  <c r="BC127" i="1"/>
  <c r="BC39" i="1"/>
  <c r="BC43" i="1" s="1"/>
  <c r="BC47" i="1" s="1"/>
  <c r="BC135" i="1"/>
  <c r="BC54" i="1"/>
  <c r="BC72" i="1"/>
  <c r="AQ127" i="1"/>
  <c r="AQ72" i="1"/>
  <c r="AQ39" i="1"/>
  <c r="AQ43" i="1" s="1"/>
  <c r="AQ47" i="1" s="1"/>
  <c r="AQ135" i="1"/>
  <c r="S54" i="1"/>
  <c r="S135" i="1"/>
  <c r="S127" i="1"/>
  <c r="S39" i="1"/>
  <c r="S43" i="1" s="1"/>
  <c r="S47" i="1" s="1"/>
  <c r="O145" i="2"/>
  <c r="N72" i="2"/>
  <c r="T72" i="2"/>
  <c r="N127" i="2"/>
  <c r="T127" i="2"/>
  <c r="T39" i="2"/>
  <c r="G135" i="2"/>
  <c r="T54" i="2"/>
  <c r="T44" i="2"/>
  <c r="O107" i="2"/>
  <c r="M145" i="2"/>
  <c r="M107" i="2"/>
  <c r="Q145" i="2"/>
  <c r="C145" i="2"/>
  <c r="M127" i="2"/>
  <c r="D127" i="2"/>
  <c r="M72" i="2"/>
  <c r="K72" i="2"/>
  <c r="C107" i="2"/>
  <c r="H135" i="2"/>
  <c r="S144" i="2"/>
  <c r="N145" i="2"/>
  <c r="K144" i="2"/>
  <c r="K145" i="2"/>
  <c r="J70" i="2"/>
  <c r="J107" i="2"/>
  <c r="S70" i="2"/>
  <c r="S145" i="2"/>
  <c r="S107" i="2"/>
  <c r="L70" i="2"/>
  <c r="L107" i="2"/>
  <c r="L145" i="2"/>
  <c r="Q144" i="2"/>
  <c r="R144" i="2"/>
  <c r="R145" i="2"/>
  <c r="AO127" i="1"/>
  <c r="AO39" i="1"/>
  <c r="AO43" i="1" s="1"/>
  <c r="AO47" i="1" s="1"/>
  <c r="AO135" i="1"/>
  <c r="AO72" i="1"/>
  <c r="AO54" i="1"/>
  <c r="W127" i="1"/>
  <c r="W54" i="1"/>
  <c r="W135" i="1"/>
  <c r="W39" i="1"/>
  <c r="W43" i="1" s="1"/>
  <c r="W47" i="1" s="1"/>
  <c r="D87" i="2"/>
  <c r="AC127" i="1"/>
  <c r="AC135" i="1"/>
  <c r="AC39" i="1"/>
  <c r="AC43" i="1" s="1"/>
  <c r="AC47" i="1" s="1"/>
  <c r="AC54" i="1"/>
  <c r="P135" i="1"/>
  <c r="P127" i="1"/>
  <c r="P39" i="1"/>
  <c r="P43" i="1" s="1"/>
  <c r="P54" i="1"/>
  <c r="V44" i="1"/>
  <c r="F107" i="2"/>
  <c r="F145" i="2"/>
  <c r="AN54" i="1"/>
  <c r="AN72" i="1"/>
  <c r="AN39" i="1"/>
  <c r="AN43" i="1" s="1"/>
  <c r="AN47" i="1" s="1"/>
  <c r="AN135" i="1"/>
  <c r="AN127" i="1"/>
  <c r="Z44" i="1"/>
  <c r="X54" i="1"/>
  <c r="X135" i="1"/>
  <c r="X127" i="1"/>
  <c r="X39" i="1"/>
  <c r="X43" i="1" s="1"/>
  <c r="X47" i="1" s="1"/>
  <c r="T127" i="1"/>
  <c r="T39" i="1"/>
  <c r="T43" i="1" s="1"/>
  <c r="T47" i="1" s="1"/>
  <c r="T135" i="1"/>
  <c r="R70" i="2"/>
  <c r="R107" i="2"/>
  <c r="AI44" i="1"/>
  <c r="AF44" i="1"/>
  <c r="BK72" i="1"/>
  <c r="BK135" i="1"/>
  <c r="BK39" i="1"/>
  <c r="BK43" i="1" s="1"/>
  <c r="BK47" i="1" s="1"/>
  <c r="BK54" i="1"/>
  <c r="BK127" i="1"/>
  <c r="AL135" i="1"/>
  <c r="AL39" i="1"/>
  <c r="AL43" i="1" s="1"/>
  <c r="AL47" i="1" s="1"/>
  <c r="AL72" i="1"/>
  <c r="AL127" i="1"/>
  <c r="AL54" i="1"/>
  <c r="BG49" i="1" l="1"/>
  <c r="U137" i="1"/>
  <c r="U49" i="1"/>
  <c r="U129" i="1"/>
  <c r="U52" i="1"/>
  <c r="BG52" i="1"/>
  <c r="AK49" i="1"/>
  <c r="BL54" i="1"/>
  <c r="BL39" i="1"/>
  <c r="BL43" i="1" s="1"/>
  <c r="BL52" i="1" s="1"/>
  <c r="AK137" i="1"/>
  <c r="AK52" i="1"/>
  <c r="AK129" i="1"/>
  <c r="AK74" i="1"/>
  <c r="L43" i="2"/>
  <c r="L136" i="2" s="1"/>
  <c r="R134" i="2"/>
  <c r="R39" i="2"/>
  <c r="R43" i="2" s="1"/>
  <c r="R52" i="2" s="1"/>
  <c r="T43" i="2"/>
  <c r="T47" i="2" s="1"/>
  <c r="T143" i="2" s="1"/>
  <c r="Q134" i="2"/>
  <c r="Q39" i="2"/>
  <c r="Q43" i="2" s="1"/>
  <c r="Q52" i="2" s="1"/>
  <c r="Q44" i="2"/>
  <c r="S134" i="2"/>
  <c r="S39" i="2"/>
  <c r="S43" i="2" s="1"/>
  <c r="S44" i="2"/>
  <c r="BG74" i="1"/>
  <c r="BG137" i="1"/>
  <c r="BE129" i="1"/>
  <c r="BE52" i="1"/>
  <c r="BE49" i="1"/>
  <c r="BE137" i="1"/>
  <c r="U136" i="2"/>
  <c r="U128" i="2"/>
  <c r="U73" i="2"/>
  <c r="U52" i="2"/>
  <c r="BJ56" i="1"/>
  <c r="BJ55" i="1"/>
  <c r="BJ129" i="1"/>
  <c r="BJ74" i="1"/>
  <c r="P31" i="2"/>
  <c r="V29" i="2"/>
  <c r="U47" i="2"/>
  <c r="U53" i="2" s="1"/>
  <c r="Q126" i="2"/>
  <c r="Q54" i="2"/>
  <c r="Q71" i="2"/>
  <c r="S126" i="2"/>
  <c r="N31" i="2"/>
  <c r="N134" i="2" s="1"/>
  <c r="S54" i="2"/>
  <c r="S71" i="2"/>
  <c r="O31" i="2"/>
  <c r="O44" i="2" s="1"/>
  <c r="I31" i="2"/>
  <c r="I44" i="2" s="1"/>
  <c r="R126" i="2"/>
  <c r="K31" i="2"/>
  <c r="K54" i="2" s="1"/>
  <c r="J31" i="2"/>
  <c r="J44" i="2" s="1"/>
  <c r="R71" i="2"/>
  <c r="E31" i="2"/>
  <c r="E44" i="2" s="1"/>
  <c r="R54" i="2"/>
  <c r="M31" i="2"/>
  <c r="M54" i="2" s="1"/>
  <c r="G31" i="2"/>
  <c r="G44" i="2" s="1"/>
  <c r="F31" i="2"/>
  <c r="F44" i="2" s="1"/>
  <c r="R44" i="2"/>
  <c r="BJ57" i="1"/>
  <c r="AU56" i="1"/>
  <c r="BJ52" i="1"/>
  <c r="AU57" i="1"/>
  <c r="BJ49" i="1"/>
  <c r="BL44" i="1"/>
  <c r="AU53" i="1"/>
  <c r="BL135" i="1"/>
  <c r="AU137" i="1"/>
  <c r="BL72" i="1"/>
  <c r="AU74" i="1"/>
  <c r="C31" i="2"/>
  <c r="C134" i="2" s="1"/>
  <c r="D52" i="1"/>
  <c r="BE74" i="1"/>
  <c r="BL127" i="1"/>
  <c r="BQ54" i="1"/>
  <c r="BP44" i="1"/>
  <c r="BP127" i="1"/>
  <c r="BP43" i="1"/>
  <c r="BP129" i="1" s="1"/>
  <c r="BO44" i="1"/>
  <c r="BN72" i="1"/>
  <c r="BR127" i="1"/>
  <c r="AU129" i="1"/>
  <c r="AU52" i="1"/>
  <c r="AU49" i="1"/>
  <c r="BP54" i="1"/>
  <c r="BN127" i="1"/>
  <c r="BN44" i="1"/>
  <c r="BO72" i="1"/>
  <c r="BO43" i="1"/>
  <c r="BO47" i="1" s="1"/>
  <c r="BO55" i="1" s="1"/>
  <c r="BJ137" i="1"/>
  <c r="BQ127" i="1"/>
  <c r="BO135" i="1"/>
  <c r="BR135" i="1"/>
  <c r="BO127" i="1"/>
  <c r="BQ44" i="1"/>
  <c r="BR54" i="1"/>
  <c r="BO54" i="1"/>
  <c r="BR72" i="1"/>
  <c r="BQ72" i="1"/>
  <c r="BR44" i="1"/>
  <c r="BQ135" i="1"/>
  <c r="BR43" i="1"/>
  <c r="BR49" i="1" s="1"/>
  <c r="BQ43" i="1"/>
  <c r="BQ49" i="1" s="1"/>
  <c r="BP135" i="1"/>
  <c r="BP72" i="1"/>
  <c r="BN135" i="1"/>
  <c r="BN43" i="1"/>
  <c r="BN129" i="1" s="1"/>
  <c r="BN54" i="1"/>
  <c r="D137" i="1"/>
  <c r="D46" i="1"/>
  <c r="D49" i="1" s="1"/>
  <c r="AX52" i="1"/>
  <c r="AE52" i="1"/>
  <c r="AE137" i="1"/>
  <c r="AE49" i="1"/>
  <c r="AE129" i="1"/>
  <c r="AX137" i="1"/>
  <c r="AX49" i="1"/>
  <c r="AX74" i="1"/>
  <c r="AH52" i="1"/>
  <c r="AX129" i="1"/>
  <c r="AH137" i="1"/>
  <c r="K129" i="1"/>
  <c r="AH49" i="1"/>
  <c r="I54" i="1"/>
  <c r="I127" i="1"/>
  <c r="H137" i="1"/>
  <c r="K52" i="1"/>
  <c r="I39" i="1"/>
  <c r="I43" i="1" s="1"/>
  <c r="I137" i="1" s="1"/>
  <c r="K46" i="1"/>
  <c r="I135" i="1"/>
  <c r="AH129" i="1"/>
  <c r="AR137" i="1"/>
  <c r="F127" i="1"/>
  <c r="F39" i="1"/>
  <c r="F43" i="1" s="1"/>
  <c r="F137" i="1" s="1"/>
  <c r="BD129" i="1"/>
  <c r="Y44" i="1"/>
  <c r="Y49" i="1"/>
  <c r="Y47" i="1"/>
  <c r="Y55" i="1" s="1"/>
  <c r="Y52" i="1"/>
  <c r="AR49" i="1"/>
  <c r="AR57" i="1"/>
  <c r="AR52" i="1"/>
  <c r="F135" i="1"/>
  <c r="AR56" i="1"/>
  <c r="Y127" i="1"/>
  <c r="Y135" i="1"/>
  <c r="AR53" i="1"/>
  <c r="AZ137" i="1"/>
  <c r="F54" i="1"/>
  <c r="Y137" i="1"/>
  <c r="Y54" i="1"/>
  <c r="AR74" i="1"/>
  <c r="AR129" i="1"/>
  <c r="R52" i="1"/>
  <c r="H129" i="1"/>
  <c r="AZ74" i="1"/>
  <c r="H52" i="1"/>
  <c r="AZ129" i="1"/>
  <c r="G52" i="1"/>
  <c r="BD52" i="1"/>
  <c r="AZ52" i="1"/>
  <c r="BD49" i="1"/>
  <c r="BD74" i="1"/>
  <c r="BD47" i="1"/>
  <c r="BD56" i="1" s="1"/>
  <c r="Q129" i="1"/>
  <c r="J129" i="1"/>
  <c r="AD129" i="1"/>
  <c r="J52" i="1"/>
  <c r="AJ52" i="1"/>
  <c r="R129" i="1"/>
  <c r="N44" i="1"/>
  <c r="M137" i="1"/>
  <c r="M52" i="1"/>
  <c r="M129" i="1"/>
  <c r="Q52" i="1"/>
  <c r="R137" i="1"/>
  <c r="J46" i="1"/>
  <c r="J49" i="1" s="1"/>
  <c r="AJ49" i="1"/>
  <c r="N127" i="1"/>
  <c r="AD49" i="1"/>
  <c r="AJ129" i="1"/>
  <c r="AD137" i="1"/>
  <c r="AJ137" i="1"/>
  <c r="AD52" i="1"/>
  <c r="AJ74" i="1"/>
  <c r="BH74" i="1"/>
  <c r="BH49" i="1"/>
  <c r="N39" i="1"/>
  <c r="N43" i="1" s="1"/>
  <c r="N52" i="1" s="1"/>
  <c r="AZ49" i="1"/>
  <c r="N135" i="1"/>
  <c r="AM47" i="1"/>
  <c r="AM53" i="1" s="1"/>
  <c r="AA55" i="1"/>
  <c r="AA56" i="1"/>
  <c r="AA49" i="1"/>
  <c r="BH137" i="1"/>
  <c r="AA57" i="1"/>
  <c r="AA52" i="1"/>
  <c r="O52" i="1"/>
  <c r="O46" i="1"/>
  <c r="O137" i="1"/>
  <c r="AM49" i="1"/>
  <c r="AG137" i="1"/>
  <c r="AM137" i="1"/>
  <c r="AM74" i="1"/>
  <c r="AG52" i="1"/>
  <c r="AA137" i="1"/>
  <c r="AA129" i="1"/>
  <c r="BH47" i="1"/>
  <c r="BH52" i="1"/>
  <c r="BM49" i="1"/>
  <c r="AM129" i="1"/>
  <c r="BM137" i="1"/>
  <c r="AS52" i="1"/>
  <c r="AS129" i="1"/>
  <c r="G129" i="1"/>
  <c r="G46" i="1"/>
  <c r="AS47" i="1"/>
  <c r="AV142" i="1" s="1"/>
  <c r="AS74" i="1"/>
  <c r="AS49" i="1"/>
  <c r="AS137" i="1"/>
  <c r="BM52" i="1"/>
  <c r="BM74" i="1"/>
  <c r="BM129" i="1"/>
  <c r="AB129" i="1"/>
  <c r="BI52" i="1"/>
  <c r="Q137" i="1"/>
  <c r="AB49" i="1"/>
  <c r="AB52" i="1"/>
  <c r="D126" i="2"/>
  <c r="AW142" i="1"/>
  <c r="D39" i="2"/>
  <c r="BI74" i="1"/>
  <c r="D134" i="2"/>
  <c r="D54" i="2"/>
  <c r="BI49" i="1"/>
  <c r="BI137" i="1"/>
  <c r="BB74" i="1"/>
  <c r="BB137" i="1"/>
  <c r="BB47" i="1"/>
  <c r="BB55" i="1" s="1"/>
  <c r="BF137" i="1"/>
  <c r="BF47" i="1"/>
  <c r="BF53" i="1" s="1"/>
  <c r="BB129" i="1"/>
  <c r="BB52" i="1"/>
  <c r="AG129" i="1"/>
  <c r="AG49" i="1"/>
  <c r="BF49" i="1"/>
  <c r="BF52" i="1"/>
  <c r="AW57" i="1"/>
  <c r="BF129" i="1"/>
  <c r="BI47" i="1"/>
  <c r="H47" i="1"/>
  <c r="H55" i="1" s="1"/>
  <c r="AB47" i="1"/>
  <c r="B54" i="2"/>
  <c r="AW53" i="1"/>
  <c r="L129" i="1"/>
  <c r="L46" i="1"/>
  <c r="L49" i="1" s="1"/>
  <c r="L52" i="1"/>
  <c r="L137" i="1"/>
  <c r="Q47" i="1"/>
  <c r="M47" i="1"/>
  <c r="M55" i="1" s="1"/>
  <c r="C135" i="1"/>
  <c r="C44" i="1"/>
  <c r="C39" i="1"/>
  <c r="C43" i="1" s="1"/>
  <c r="C54" i="1"/>
  <c r="C127" i="1"/>
  <c r="AP47" i="1"/>
  <c r="AP129" i="1"/>
  <c r="AP49" i="1"/>
  <c r="AP137" i="1"/>
  <c r="AP52" i="1"/>
  <c r="AP74" i="1"/>
  <c r="AX142" i="1"/>
  <c r="R47" i="1"/>
  <c r="R57" i="1" s="1"/>
  <c r="AW56" i="1"/>
  <c r="BG57" i="1"/>
  <c r="BG53" i="1"/>
  <c r="BG56" i="1"/>
  <c r="AE55" i="1"/>
  <c r="AE57" i="1"/>
  <c r="AE56" i="1"/>
  <c r="AE53" i="1"/>
  <c r="E129" i="1"/>
  <c r="E52" i="1"/>
  <c r="E46" i="1"/>
  <c r="E49" i="1" s="1"/>
  <c r="E137" i="1"/>
  <c r="S129" i="1"/>
  <c r="S52" i="1"/>
  <c r="S137" i="1"/>
  <c r="S49" i="1"/>
  <c r="BA74" i="1"/>
  <c r="BA49" i="1"/>
  <c r="BA52" i="1"/>
  <c r="BA129" i="1"/>
  <c r="BA137" i="1"/>
  <c r="BE53" i="1"/>
  <c r="BE57" i="1"/>
  <c r="BE56" i="1"/>
  <c r="BE55" i="1"/>
  <c r="AY52" i="1"/>
  <c r="AY137" i="1"/>
  <c r="AY74" i="1"/>
  <c r="AY49" i="1"/>
  <c r="AY129" i="1"/>
  <c r="BC74" i="1"/>
  <c r="BC137" i="1"/>
  <c r="BC52" i="1"/>
  <c r="BC129" i="1"/>
  <c r="BC49" i="1"/>
  <c r="AT55" i="1"/>
  <c r="AT53" i="1"/>
  <c r="AT56" i="1"/>
  <c r="AT57" i="1"/>
  <c r="AQ49" i="1"/>
  <c r="AQ52" i="1"/>
  <c r="AQ74" i="1"/>
  <c r="AQ129" i="1"/>
  <c r="AQ137" i="1"/>
  <c r="AK57" i="1"/>
  <c r="AK56" i="1"/>
  <c r="AK53" i="1"/>
  <c r="AK55" i="1"/>
  <c r="AN49" i="1"/>
  <c r="AN129" i="1"/>
  <c r="AN137" i="1"/>
  <c r="AN74" i="1"/>
  <c r="AN52" i="1"/>
  <c r="AH57" i="1"/>
  <c r="AH53" i="1"/>
  <c r="AH55" i="1"/>
  <c r="AH56" i="1"/>
  <c r="AJ53" i="1"/>
  <c r="AJ56" i="1"/>
  <c r="AJ57" i="1"/>
  <c r="AJ55" i="1"/>
  <c r="AZ55" i="1"/>
  <c r="AZ56" i="1"/>
  <c r="AZ53" i="1"/>
  <c r="AZ57" i="1"/>
  <c r="AF39" i="1"/>
  <c r="AF43" i="1" s="1"/>
  <c r="AF47" i="1" s="1"/>
  <c r="AF54" i="1"/>
  <c r="AF127" i="1"/>
  <c r="AF135" i="1"/>
  <c r="Z39" i="1"/>
  <c r="Z43" i="1" s="1"/>
  <c r="Z47" i="1" s="1"/>
  <c r="Z135" i="1"/>
  <c r="Z54" i="1"/>
  <c r="Z127" i="1"/>
  <c r="AI135" i="1"/>
  <c r="AI54" i="1"/>
  <c r="AI39" i="1"/>
  <c r="AI43" i="1" s="1"/>
  <c r="AI47" i="1" s="1"/>
  <c r="AI127" i="1"/>
  <c r="AI72" i="1"/>
  <c r="T49" i="1"/>
  <c r="T137" i="1"/>
  <c r="T129" i="1"/>
  <c r="T52" i="1"/>
  <c r="BM53" i="1"/>
  <c r="BM55" i="1"/>
  <c r="BM57" i="1"/>
  <c r="BM56" i="1"/>
  <c r="V127" i="1"/>
  <c r="V54" i="1"/>
  <c r="V39" i="1"/>
  <c r="V43" i="1" s="1"/>
  <c r="V47" i="1" s="1"/>
  <c r="V135" i="1"/>
  <c r="AL137" i="1"/>
  <c r="AL129" i="1"/>
  <c r="AL74" i="1"/>
  <c r="AL52" i="1"/>
  <c r="AL49" i="1"/>
  <c r="T70" i="2"/>
  <c r="T107" i="2"/>
  <c r="T145" i="2"/>
  <c r="P129" i="1"/>
  <c r="P46" i="1"/>
  <c r="P49" i="1" s="1"/>
  <c r="P137" i="1"/>
  <c r="P52" i="1"/>
  <c r="H44" i="2"/>
  <c r="AC52" i="1"/>
  <c r="AC129" i="1"/>
  <c r="AC137" i="1"/>
  <c r="AC49" i="1"/>
  <c r="AO49" i="1"/>
  <c r="AO137" i="1"/>
  <c r="AO74" i="1"/>
  <c r="AO129" i="1"/>
  <c r="AO52" i="1"/>
  <c r="BK137" i="1"/>
  <c r="BK129" i="1"/>
  <c r="BK49" i="1"/>
  <c r="BK74" i="1"/>
  <c r="BK52" i="1"/>
  <c r="X49" i="1"/>
  <c r="X52" i="1"/>
  <c r="X137" i="1"/>
  <c r="X129" i="1"/>
  <c r="AZ142" i="1"/>
  <c r="BA142" i="1"/>
  <c r="AX57" i="1"/>
  <c r="AX53" i="1"/>
  <c r="AX55" i="1"/>
  <c r="AX56" i="1"/>
  <c r="W137" i="1"/>
  <c r="W129" i="1"/>
  <c r="W52" i="1"/>
  <c r="W49" i="1"/>
  <c r="AG55" i="1"/>
  <c r="AG56" i="1"/>
  <c r="AG57" i="1"/>
  <c r="AG53" i="1"/>
  <c r="U53" i="1"/>
  <c r="U55" i="1"/>
  <c r="U57" i="1"/>
  <c r="U56" i="1"/>
  <c r="AD57" i="1"/>
  <c r="AD56" i="1"/>
  <c r="AD55" i="1"/>
  <c r="AD53" i="1"/>
  <c r="D107" i="2"/>
  <c r="D145" i="2"/>
  <c r="AY142" i="1"/>
  <c r="T136" i="2" l="1"/>
  <c r="T128" i="2"/>
  <c r="L73" i="2"/>
  <c r="L52" i="2"/>
  <c r="L128" i="2"/>
  <c r="L49" i="2"/>
  <c r="K71" i="2"/>
  <c r="L47" i="2"/>
  <c r="L143" i="2" s="1"/>
  <c r="T73" i="2"/>
  <c r="T49" i="2"/>
  <c r="BL47" i="1"/>
  <c r="BM142" i="1" s="1"/>
  <c r="BL74" i="1"/>
  <c r="BL129" i="1"/>
  <c r="BL49" i="1"/>
  <c r="BL137" i="1"/>
  <c r="T52" i="2"/>
  <c r="D43" i="2"/>
  <c r="D136" i="2" s="1"/>
  <c r="P134" i="2"/>
  <c r="V134" i="2" s="1"/>
  <c r="P44" i="2"/>
  <c r="V44" i="2" s="1"/>
  <c r="P39" i="2"/>
  <c r="S47" i="2"/>
  <c r="S49" i="2"/>
  <c r="S73" i="2"/>
  <c r="S128" i="2"/>
  <c r="S136" i="2"/>
  <c r="R47" i="2"/>
  <c r="R49" i="2"/>
  <c r="R73" i="2"/>
  <c r="R128" i="2"/>
  <c r="R136" i="2"/>
  <c r="S52" i="2"/>
  <c r="Q47" i="2"/>
  <c r="Q128" i="2"/>
  <c r="Q73" i="2"/>
  <c r="Q49" i="2"/>
  <c r="Q136" i="2"/>
  <c r="U55" i="2"/>
  <c r="U57" i="2"/>
  <c r="U56" i="2"/>
  <c r="U143" i="2"/>
  <c r="K47" i="1"/>
  <c r="K55" i="1" s="1"/>
  <c r="G47" i="1"/>
  <c r="G53" i="1" s="1"/>
  <c r="O47" i="1"/>
  <c r="O56" i="1" s="1"/>
  <c r="P54" i="2"/>
  <c r="V54" i="2" s="1"/>
  <c r="K44" i="2"/>
  <c r="P71" i="2"/>
  <c r="V71" i="2" s="1"/>
  <c r="V31" i="2"/>
  <c r="P126" i="2"/>
  <c r="V126" i="2" s="1"/>
  <c r="K126" i="2"/>
  <c r="N126" i="2"/>
  <c r="N39" i="2"/>
  <c r="M39" i="2"/>
  <c r="N71" i="2"/>
  <c r="M44" i="2"/>
  <c r="K134" i="2"/>
  <c r="N44" i="2"/>
  <c r="K39" i="2"/>
  <c r="N54" i="2"/>
  <c r="O54" i="2"/>
  <c r="O39" i="2"/>
  <c r="O134" i="2"/>
  <c r="O71" i="2"/>
  <c r="O126" i="2"/>
  <c r="M134" i="2"/>
  <c r="M126" i="2"/>
  <c r="M71" i="2"/>
  <c r="C126" i="2"/>
  <c r="C39" i="2"/>
  <c r="C44" i="2"/>
  <c r="C54" i="2"/>
  <c r="BP47" i="1"/>
  <c r="BP53" i="1" s="1"/>
  <c r="BP74" i="1"/>
  <c r="BP52" i="1"/>
  <c r="BP49" i="1"/>
  <c r="BP137" i="1"/>
  <c r="BR52" i="1"/>
  <c r="BO53" i="1"/>
  <c r="BO57" i="1"/>
  <c r="BO137" i="1"/>
  <c r="BO74" i="1"/>
  <c r="BO129" i="1"/>
  <c r="BO56" i="1"/>
  <c r="BO52" i="1"/>
  <c r="BO49" i="1"/>
  <c r="BR137" i="1"/>
  <c r="BR129" i="1"/>
  <c r="BQ52" i="1"/>
  <c r="BQ74" i="1"/>
  <c r="BQ137" i="1"/>
  <c r="BN49" i="1"/>
  <c r="BR47" i="1"/>
  <c r="BR57" i="1" s="1"/>
  <c r="BN47" i="1"/>
  <c r="BN57" i="1" s="1"/>
  <c r="BR74" i="1"/>
  <c r="BQ129" i="1"/>
  <c r="BQ47" i="1"/>
  <c r="BQ53" i="1" s="1"/>
  <c r="BN52" i="1"/>
  <c r="BN74" i="1"/>
  <c r="BN137" i="1"/>
  <c r="D47" i="1"/>
  <c r="D53" i="1" s="1"/>
  <c r="Y53" i="1"/>
  <c r="K49" i="1"/>
  <c r="I52" i="1"/>
  <c r="F129" i="1"/>
  <c r="F46" i="1"/>
  <c r="F49" i="1" s="1"/>
  <c r="F52" i="1"/>
  <c r="I129" i="1"/>
  <c r="I46" i="1"/>
  <c r="I49" i="1" s="1"/>
  <c r="Y56" i="1"/>
  <c r="Y57" i="1"/>
  <c r="BD57" i="1"/>
  <c r="BD53" i="1"/>
  <c r="BD55" i="1"/>
  <c r="J47" i="1"/>
  <c r="J57" i="1" s="1"/>
  <c r="E126" i="2"/>
  <c r="N129" i="1"/>
  <c r="E134" i="2"/>
  <c r="E54" i="2"/>
  <c r="E39" i="2"/>
  <c r="AM57" i="1"/>
  <c r="AM55" i="1"/>
  <c r="AM56" i="1"/>
  <c r="N46" i="1"/>
  <c r="N49" i="1" s="1"/>
  <c r="N137" i="1"/>
  <c r="AS56" i="1"/>
  <c r="H57" i="1"/>
  <c r="O49" i="1"/>
  <c r="BB56" i="1"/>
  <c r="G49" i="1"/>
  <c r="AU142" i="1"/>
  <c r="BB142" i="1"/>
  <c r="BC142" i="1"/>
  <c r="BH142" i="1"/>
  <c r="BH55" i="1"/>
  <c r="BH57" i="1"/>
  <c r="BH53" i="1"/>
  <c r="BH56" i="1"/>
  <c r="BJ142" i="1"/>
  <c r="AS55" i="1"/>
  <c r="AS57" i="1"/>
  <c r="AS53" i="1"/>
  <c r="H53" i="1"/>
  <c r="BI57" i="1"/>
  <c r="R56" i="1"/>
  <c r="BF56" i="1"/>
  <c r="BF57" i="1"/>
  <c r="T53" i="2"/>
  <c r="T56" i="2"/>
  <c r="BB53" i="1"/>
  <c r="H56" i="1"/>
  <c r="BB57" i="1"/>
  <c r="BF55" i="1"/>
  <c r="BG142" i="1"/>
  <c r="B39" i="2"/>
  <c r="B43" i="2" s="1"/>
  <c r="T57" i="2"/>
  <c r="R55" i="1"/>
  <c r="R53" i="1"/>
  <c r="T55" i="2"/>
  <c r="BI55" i="1"/>
  <c r="M53" i="1"/>
  <c r="BI53" i="1"/>
  <c r="M57" i="1"/>
  <c r="B134" i="2"/>
  <c r="BI56" i="1"/>
  <c r="M56" i="1"/>
  <c r="BI142" i="1"/>
  <c r="AB56" i="1"/>
  <c r="AB53" i="1"/>
  <c r="AB55" i="1"/>
  <c r="AB57" i="1"/>
  <c r="E46" i="2"/>
  <c r="E47" i="1"/>
  <c r="E56" i="1" s="1"/>
  <c r="AP56" i="1"/>
  <c r="AP57" i="1"/>
  <c r="AP55" i="1"/>
  <c r="AP53" i="1"/>
  <c r="C129" i="1"/>
  <c r="C46" i="1"/>
  <c r="C52" i="1"/>
  <c r="C137" i="1"/>
  <c r="L47" i="1"/>
  <c r="P47" i="1"/>
  <c r="B44" i="2"/>
  <c r="B126" i="2"/>
  <c r="U142" i="1"/>
  <c r="BC56" i="1"/>
  <c r="BC55" i="1"/>
  <c r="BC53" i="1"/>
  <c r="BF142" i="1"/>
  <c r="BE142" i="1"/>
  <c r="BC57" i="1"/>
  <c r="BA57" i="1"/>
  <c r="BA55" i="1"/>
  <c r="BA56" i="1"/>
  <c r="BA53" i="1"/>
  <c r="BD142" i="1"/>
  <c r="AY55" i="1"/>
  <c r="AY56" i="1"/>
  <c r="AY57" i="1"/>
  <c r="AY53" i="1"/>
  <c r="AQ57" i="1"/>
  <c r="AQ55" i="1"/>
  <c r="AQ53" i="1"/>
  <c r="AQ56" i="1"/>
  <c r="AS142" i="1"/>
  <c r="AT142" i="1"/>
  <c r="S53" i="1"/>
  <c r="S56" i="1"/>
  <c r="S57" i="1"/>
  <c r="S55" i="1"/>
  <c r="V129" i="1"/>
  <c r="V137" i="1"/>
  <c r="V52" i="1"/>
  <c r="W142" i="1"/>
  <c r="V49" i="1"/>
  <c r="BK57" i="1"/>
  <c r="BK55" i="1"/>
  <c r="BK56" i="1"/>
  <c r="BK53" i="1"/>
  <c r="BL142" i="1"/>
  <c r="BK142" i="1"/>
  <c r="AC57" i="1"/>
  <c r="AC53" i="1"/>
  <c r="AC55" i="1"/>
  <c r="AC56" i="1"/>
  <c r="AD142" i="1"/>
  <c r="AE142" i="1"/>
  <c r="H54" i="2"/>
  <c r="H134" i="2"/>
  <c r="H126" i="2"/>
  <c r="H39" i="2"/>
  <c r="I134" i="2"/>
  <c r="I126" i="2"/>
  <c r="I39" i="2"/>
  <c r="I54" i="2"/>
  <c r="J71" i="2"/>
  <c r="J126" i="2"/>
  <c r="J39" i="2"/>
  <c r="J54" i="2"/>
  <c r="J134" i="2"/>
  <c r="K56" i="1"/>
  <c r="Q56" i="1"/>
  <c r="Q55" i="1"/>
  <c r="Q57" i="1"/>
  <c r="Q53" i="1"/>
  <c r="T142" i="1"/>
  <c r="AO55" i="1"/>
  <c r="AR142" i="1"/>
  <c r="AO57" i="1"/>
  <c r="AO56" i="1"/>
  <c r="AO53" i="1"/>
  <c r="X57" i="1"/>
  <c r="X55" i="1"/>
  <c r="X53" i="1"/>
  <c r="X56" i="1"/>
  <c r="F134" i="2"/>
  <c r="F126" i="2"/>
  <c r="F39" i="2"/>
  <c r="F54" i="2"/>
  <c r="AN57" i="1"/>
  <c r="AN55" i="1"/>
  <c r="AN56" i="1"/>
  <c r="AN53" i="1"/>
  <c r="AQ142" i="1"/>
  <c r="AP142" i="1"/>
  <c r="Z137" i="1"/>
  <c r="Z49" i="1"/>
  <c r="AA142" i="1"/>
  <c r="Z129" i="1"/>
  <c r="Z52" i="1"/>
  <c r="AF49" i="1"/>
  <c r="AF129" i="1"/>
  <c r="AF137" i="1"/>
  <c r="AF52" i="1"/>
  <c r="AF142" i="1"/>
  <c r="G134" i="2"/>
  <c r="G126" i="2"/>
  <c r="G54" i="2"/>
  <c r="G39" i="2"/>
  <c r="T56" i="1"/>
  <c r="T53" i="1"/>
  <c r="T55" i="1"/>
  <c r="T57" i="1"/>
  <c r="W57" i="1"/>
  <c r="W53" i="1"/>
  <c r="W55" i="1"/>
  <c r="W56" i="1"/>
  <c r="AL57" i="1"/>
  <c r="AL56" i="1"/>
  <c r="AO142" i="1"/>
  <c r="AL55" i="1"/>
  <c r="AL53" i="1"/>
  <c r="AI49" i="1"/>
  <c r="AI52" i="1"/>
  <c r="AI129" i="1"/>
  <c r="AI74" i="1"/>
  <c r="AI137" i="1"/>
  <c r="AM142" i="1"/>
  <c r="AN142" i="1"/>
  <c r="R142" i="1" l="1"/>
  <c r="O53" i="1"/>
  <c r="K57" i="1"/>
  <c r="O55" i="1"/>
  <c r="O57" i="1"/>
  <c r="K53" i="1"/>
  <c r="G57" i="1"/>
  <c r="G56" i="1"/>
  <c r="G55" i="1"/>
  <c r="L53" i="2"/>
  <c r="L55" i="2"/>
  <c r="L57" i="2"/>
  <c r="L56" i="2"/>
  <c r="BL56" i="1"/>
  <c r="BL55" i="1"/>
  <c r="BL57" i="1"/>
  <c r="BL53" i="1"/>
  <c r="S56" i="2"/>
  <c r="S55" i="2"/>
  <c r="S57" i="2"/>
  <c r="S143" i="2"/>
  <c r="S53" i="2"/>
  <c r="D52" i="2"/>
  <c r="K43" i="2"/>
  <c r="K136" i="2" s="1"/>
  <c r="D128" i="2"/>
  <c r="F43" i="2"/>
  <c r="F128" i="2" s="1"/>
  <c r="N43" i="2"/>
  <c r="N128" i="2" s="1"/>
  <c r="H43" i="2"/>
  <c r="H128" i="2" s="1"/>
  <c r="P43" i="2"/>
  <c r="V39" i="2"/>
  <c r="E43" i="2"/>
  <c r="E128" i="2" s="1"/>
  <c r="G43" i="2"/>
  <c r="G47" i="2" s="1"/>
  <c r="G57" i="2" s="1"/>
  <c r="I43" i="2"/>
  <c r="I128" i="2" s="1"/>
  <c r="Q55" i="2"/>
  <c r="Q57" i="2"/>
  <c r="Q56" i="2"/>
  <c r="Q143" i="2"/>
  <c r="Q53" i="2"/>
  <c r="R57" i="2"/>
  <c r="R55" i="2"/>
  <c r="R56" i="2"/>
  <c r="R143" i="2"/>
  <c r="R53" i="2"/>
  <c r="C43" i="2"/>
  <c r="C128" i="2" s="1"/>
  <c r="O43" i="2"/>
  <c r="O73" i="2" s="1"/>
  <c r="M43" i="2"/>
  <c r="M128" i="2" s="1"/>
  <c r="J43" i="2"/>
  <c r="J47" i="2" s="1"/>
  <c r="J57" i="2" s="1"/>
  <c r="C47" i="1"/>
  <c r="C53" i="1" s="1"/>
  <c r="BP55" i="1"/>
  <c r="BP56" i="1"/>
  <c r="BP57" i="1"/>
  <c r="BR53" i="1"/>
  <c r="BQ55" i="1"/>
  <c r="BN142" i="1"/>
  <c r="BS142" i="1"/>
  <c r="D56" i="1"/>
  <c r="BQ56" i="1"/>
  <c r="BR142" i="1"/>
  <c r="BR55" i="1"/>
  <c r="BQ57" i="1"/>
  <c r="BR56" i="1"/>
  <c r="BT142" i="1"/>
  <c r="BQ142" i="1"/>
  <c r="BP142" i="1"/>
  <c r="BO142" i="1"/>
  <c r="BN56" i="1"/>
  <c r="BN53" i="1"/>
  <c r="BN55" i="1"/>
  <c r="D55" i="1"/>
  <c r="C46" i="2"/>
  <c r="F47" i="1"/>
  <c r="F56" i="1" s="1"/>
  <c r="I47" i="1"/>
  <c r="I53" i="1" s="1"/>
  <c r="J53" i="1"/>
  <c r="N47" i="1"/>
  <c r="N57" i="1" s="1"/>
  <c r="J56" i="1"/>
  <c r="J55" i="1"/>
  <c r="M142" i="1"/>
  <c r="D46" i="2"/>
  <c r="D49" i="2" s="1"/>
  <c r="P55" i="1"/>
  <c r="P57" i="1"/>
  <c r="P53" i="1"/>
  <c r="P56" i="1"/>
  <c r="B136" i="2"/>
  <c r="S142" i="1"/>
  <c r="B128" i="2"/>
  <c r="B52" i="2"/>
  <c r="E49" i="2"/>
  <c r="C55" i="1"/>
  <c r="B46" i="2"/>
  <c r="C49" i="1"/>
  <c r="E53" i="1"/>
  <c r="E55" i="1"/>
  <c r="L57" i="1"/>
  <c r="L53" i="1"/>
  <c r="L56" i="1"/>
  <c r="L55" i="1"/>
  <c r="E57" i="1"/>
  <c r="AF55" i="1"/>
  <c r="AF53" i="1"/>
  <c r="AF57" i="1"/>
  <c r="AF56" i="1"/>
  <c r="AI142" i="1"/>
  <c r="AH142" i="1"/>
  <c r="AG142" i="1"/>
  <c r="V55" i="1"/>
  <c r="V57" i="1"/>
  <c r="V56" i="1"/>
  <c r="Y142" i="1"/>
  <c r="V53" i="1"/>
  <c r="X142" i="1"/>
  <c r="AI55" i="1"/>
  <c r="AL142" i="1"/>
  <c r="AI53" i="1"/>
  <c r="AI56" i="1"/>
  <c r="AI57" i="1"/>
  <c r="AJ142" i="1"/>
  <c r="AK142" i="1"/>
  <c r="Z56" i="1"/>
  <c r="Z57" i="1"/>
  <c r="AC142" i="1"/>
  <c r="Z53" i="1"/>
  <c r="Z55" i="1"/>
  <c r="AB142" i="1"/>
  <c r="Z142" i="1"/>
  <c r="V142" i="1"/>
  <c r="C136" i="2" l="1"/>
  <c r="F52" i="2"/>
  <c r="E136" i="2"/>
  <c r="E47" i="2"/>
  <c r="E143" i="2" s="1"/>
  <c r="C52" i="2"/>
  <c r="G52" i="2"/>
  <c r="C47" i="2"/>
  <c r="C143" i="2" s="1"/>
  <c r="O128" i="2"/>
  <c r="K128" i="2"/>
  <c r="I49" i="2"/>
  <c r="J136" i="2"/>
  <c r="O52" i="2"/>
  <c r="J52" i="2"/>
  <c r="K47" i="2"/>
  <c r="K53" i="2" s="1"/>
  <c r="G49" i="2"/>
  <c r="E52" i="2"/>
  <c r="O49" i="2"/>
  <c r="H47" i="2"/>
  <c r="H57" i="2" s="1"/>
  <c r="F49" i="2"/>
  <c r="M52" i="2"/>
  <c r="H136" i="2"/>
  <c r="H49" i="2"/>
  <c r="M49" i="2"/>
  <c r="I52" i="2"/>
  <c r="I47" i="2"/>
  <c r="I143" i="2" s="1"/>
  <c r="I136" i="2"/>
  <c r="J49" i="2"/>
  <c r="J128" i="2"/>
  <c r="F47" i="2"/>
  <c r="F55" i="2" s="1"/>
  <c r="F136" i="2"/>
  <c r="H52" i="2"/>
  <c r="N136" i="2"/>
  <c r="N47" i="2"/>
  <c r="N53" i="2" s="1"/>
  <c r="G136" i="2"/>
  <c r="N52" i="2"/>
  <c r="N73" i="2"/>
  <c r="P47" i="2"/>
  <c r="P73" i="2"/>
  <c r="V73" i="2" s="1"/>
  <c r="P128" i="2"/>
  <c r="V128" i="2" s="1"/>
  <c r="P49" i="2"/>
  <c r="V49" i="2" s="1"/>
  <c r="P136" i="2"/>
  <c r="V136" i="2" s="1"/>
  <c r="V43" i="2"/>
  <c r="P52" i="2"/>
  <c r="V52" i="2" s="1"/>
  <c r="J73" i="2"/>
  <c r="K73" i="2"/>
  <c r="M73" i="2"/>
  <c r="N49" i="2"/>
  <c r="M47" i="2"/>
  <c r="K52" i="2"/>
  <c r="O136" i="2"/>
  <c r="M136" i="2"/>
  <c r="O47" i="2"/>
  <c r="G128" i="2"/>
  <c r="K49" i="2"/>
  <c r="C56" i="1"/>
  <c r="G142" i="1"/>
  <c r="L142" i="1"/>
  <c r="F55" i="1"/>
  <c r="N53" i="1"/>
  <c r="F142" i="1"/>
  <c r="H142" i="1"/>
  <c r="N142" i="1"/>
  <c r="C49" i="2"/>
  <c r="O142" i="1"/>
  <c r="P142" i="1"/>
  <c r="N56" i="1"/>
  <c r="Q142" i="1"/>
  <c r="N55" i="1"/>
  <c r="F57" i="1"/>
  <c r="I57" i="1"/>
  <c r="D47" i="2"/>
  <c r="D57" i="2" s="1"/>
  <c r="F53" i="1"/>
  <c r="K142" i="1"/>
  <c r="I56" i="1"/>
  <c r="I55" i="1"/>
  <c r="I142" i="1"/>
  <c r="J142" i="1"/>
  <c r="E55" i="2"/>
  <c r="E53" i="2"/>
  <c r="B49" i="2"/>
  <c r="B47" i="2"/>
  <c r="G53" i="2"/>
  <c r="G56" i="2"/>
  <c r="G55" i="2"/>
  <c r="G143" i="2"/>
  <c r="J55" i="2"/>
  <c r="J53" i="2"/>
  <c r="J56" i="2"/>
  <c r="J143" i="2"/>
  <c r="H143" i="2" l="1"/>
  <c r="C56" i="2"/>
  <c r="E56" i="2"/>
  <c r="C55" i="2"/>
  <c r="F56" i="2"/>
  <c r="C57" i="2"/>
  <c r="E57" i="2"/>
  <c r="C53" i="2"/>
  <c r="H56" i="2"/>
  <c r="H53" i="2"/>
  <c r="F53" i="2"/>
  <c r="F57" i="2"/>
  <c r="K55" i="2"/>
  <c r="K57" i="2"/>
  <c r="K56" i="2"/>
  <c r="H55" i="2"/>
  <c r="K143" i="2"/>
  <c r="I56" i="2"/>
  <c r="I57" i="2"/>
  <c r="N57" i="2"/>
  <c r="I55" i="2"/>
  <c r="N143" i="2"/>
  <c r="N56" i="2"/>
  <c r="I53" i="2"/>
  <c r="N55" i="2"/>
  <c r="F143" i="2"/>
  <c r="O56" i="2"/>
  <c r="O55" i="2"/>
  <c r="O57" i="2"/>
  <c r="O143" i="2"/>
  <c r="O53" i="2"/>
  <c r="M57" i="2"/>
  <c r="M143" i="2"/>
  <c r="M56" i="2"/>
  <c r="M55" i="2"/>
  <c r="M53" i="2"/>
  <c r="P55" i="2"/>
  <c r="V55" i="2" s="1"/>
  <c r="P56" i="2"/>
  <c r="V56" i="2" s="1"/>
  <c r="P57" i="2"/>
  <c r="V57" i="2" s="1"/>
  <c r="P143" i="2"/>
  <c r="V143" i="2" s="1"/>
  <c r="V47" i="2"/>
  <c r="P53" i="2"/>
  <c r="V53" i="2" s="1"/>
  <c r="D143" i="2"/>
  <c r="D56" i="2"/>
  <c r="D53" i="2"/>
  <c r="D55" i="2"/>
  <c r="B57" i="2"/>
  <c r="B55" i="2"/>
  <c r="B56" i="2"/>
  <c r="B53" i="2"/>
  <c r="B143" i="2"/>
  <c r="CA72" i="1"/>
  <c r="CD72" i="1"/>
  <c r="BV135" i="1"/>
  <c r="BZ72" i="1"/>
  <c r="BW39" i="1"/>
  <c r="BW43" i="1" s="1"/>
  <c r="CB72" i="1"/>
  <c r="CE135" i="1"/>
  <c r="CC54" i="1"/>
  <c r="BU44" i="1"/>
  <c r="BY44" i="1"/>
  <c r="BX44" i="1"/>
  <c r="BU135" i="1" l="1"/>
  <c r="CC39" i="1"/>
  <c r="CC43" i="1" s="1"/>
  <c r="CC52" i="1" s="1"/>
  <c r="CD54" i="1"/>
  <c r="CC135" i="1"/>
  <c r="CC127" i="1"/>
  <c r="BY135" i="1"/>
  <c r="CE72" i="1"/>
  <c r="CB127" i="1"/>
  <c r="BY39" i="1"/>
  <c r="BY43" i="1" s="1"/>
  <c r="BY47" i="1" s="1"/>
  <c r="BY53" i="1" s="1"/>
  <c r="BY54" i="1"/>
  <c r="BU72" i="1"/>
  <c r="CA127" i="1"/>
  <c r="CB135" i="1"/>
  <c r="BY127" i="1"/>
  <c r="BX127" i="1"/>
  <c r="CA135" i="1"/>
  <c r="BV54" i="1"/>
  <c r="BU43" i="1"/>
  <c r="BU74" i="1" s="1"/>
  <c r="CE39" i="1"/>
  <c r="BW135" i="1"/>
  <c r="BV43" i="1"/>
  <c r="BV47" i="1" s="1"/>
  <c r="CA54" i="1"/>
  <c r="BV44" i="1"/>
  <c r="CA39" i="1"/>
  <c r="CA43" i="1" s="1"/>
  <c r="CD135" i="1"/>
  <c r="BX39" i="1"/>
  <c r="BX43" i="1" s="1"/>
  <c r="BX52" i="1" s="1"/>
  <c r="CD127" i="1"/>
  <c r="BW137" i="1"/>
  <c r="BW47" i="1"/>
  <c r="BW52" i="1"/>
  <c r="BW49" i="1"/>
  <c r="BW129" i="1"/>
  <c r="BW74" i="1"/>
  <c r="BX72" i="1"/>
  <c r="BZ135" i="1"/>
  <c r="CB39" i="1"/>
  <c r="CB43" i="1" s="1"/>
  <c r="BW127" i="1"/>
  <c r="BU54" i="1"/>
  <c r="BX54" i="1"/>
  <c r="BZ54" i="1"/>
  <c r="BV72" i="1"/>
  <c r="BZ127" i="1"/>
  <c r="BW44" i="1"/>
  <c r="BU127" i="1"/>
  <c r="CD39" i="1"/>
  <c r="CD43" i="1" s="1"/>
  <c r="CE127" i="1"/>
  <c r="CA44" i="1"/>
  <c r="CB44" i="1"/>
  <c r="BV127" i="1"/>
  <c r="BX135" i="1"/>
  <c r="BZ44" i="1"/>
  <c r="BY72" i="1"/>
  <c r="BW72" i="1"/>
  <c r="CC72" i="1"/>
  <c r="CB54" i="1"/>
  <c r="BW54" i="1"/>
  <c r="BZ39" i="1"/>
  <c r="BZ43" i="1" s="1"/>
  <c r="CA74" i="1" l="1"/>
  <c r="CE43" i="1"/>
  <c r="CE49" i="1" s="1"/>
  <c r="CC49" i="1"/>
  <c r="CC129" i="1"/>
  <c r="CC74" i="1"/>
  <c r="BU52" i="1"/>
  <c r="BX49" i="1"/>
  <c r="CC47" i="1"/>
  <c r="BX129" i="1"/>
  <c r="BX74" i="1"/>
  <c r="BX137" i="1"/>
  <c r="CC137" i="1"/>
  <c r="BU47" i="1"/>
  <c r="BU53" i="1" s="1"/>
  <c r="CA49" i="1"/>
  <c r="CA52" i="1"/>
  <c r="BY52" i="1"/>
  <c r="CA137" i="1"/>
  <c r="BY74" i="1"/>
  <c r="BY49" i="1"/>
  <c r="BY137" i="1"/>
  <c r="BY55" i="1"/>
  <c r="CA47" i="1"/>
  <c r="BY129" i="1"/>
  <c r="BY56" i="1"/>
  <c r="BY57" i="1"/>
  <c r="BU129" i="1"/>
  <c r="BV49" i="1"/>
  <c r="BV52" i="1"/>
  <c r="BV74" i="1"/>
  <c r="BU137" i="1"/>
  <c r="BU49" i="1"/>
  <c r="BX47" i="1"/>
  <c r="BX53" i="1" s="1"/>
  <c r="CA129" i="1"/>
  <c r="BV137" i="1"/>
  <c r="BV129" i="1"/>
  <c r="BW56" i="1"/>
  <c r="BW53" i="1"/>
  <c r="BW57" i="1"/>
  <c r="BW55" i="1"/>
  <c r="CD129" i="1"/>
  <c r="CD74" i="1"/>
  <c r="CD52" i="1"/>
  <c r="CD49" i="1"/>
  <c r="CD137" i="1"/>
  <c r="CD47" i="1"/>
  <c r="BZ47" i="1"/>
  <c r="BZ52" i="1"/>
  <c r="BZ49" i="1"/>
  <c r="BZ74" i="1"/>
  <c r="BZ129" i="1"/>
  <c r="BZ137" i="1"/>
  <c r="CB49" i="1"/>
  <c r="CB47" i="1"/>
  <c r="CB52" i="1"/>
  <c r="CB74" i="1"/>
  <c r="CB137" i="1"/>
  <c r="CB129" i="1"/>
  <c r="BV57" i="1"/>
  <c r="BV55" i="1"/>
  <c r="BV56" i="1"/>
  <c r="BV53" i="1"/>
  <c r="CC55" i="1" l="1"/>
  <c r="CE74" i="1"/>
  <c r="CE129" i="1"/>
  <c r="CE47" i="1"/>
  <c r="CE53" i="1" s="1"/>
  <c r="CE52" i="1"/>
  <c r="CE137" i="1"/>
  <c r="CA53" i="1"/>
  <c r="BZ142" i="1"/>
  <c r="CB142" i="1"/>
  <c r="BY142" i="1"/>
  <c r="CD142" i="1"/>
  <c r="CA56" i="1"/>
  <c r="BV142" i="1"/>
  <c r="CA55" i="1"/>
  <c r="CA57" i="1"/>
  <c r="BU142" i="1"/>
  <c r="BX142" i="1"/>
  <c r="BW142" i="1"/>
  <c r="CC53" i="1"/>
  <c r="BU57" i="1"/>
  <c r="CC57" i="1"/>
  <c r="BU55" i="1"/>
  <c r="CC56" i="1"/>
  <c r="BU56" i="1"/>
  <c r="BX55" i="1"/>
  <c r="BX56" i="1"/>
  <c r="CA142" i="1"/>
  <c r="BX57" i="1"/>
  <c r="BZ55" i="1"/>
  <c r="BZ53" i="1"/>
  <c r="CC142" i="1"/>
  <c r="BZ56" i="1"/>
  <c r="BZ57" i="1"/>
  <c r="CD55" i="1"/>
  <c r="CD57" i="1"/>
  <c r="CD56" i="1"/>
  <c r="CD53" i="1"/>
  <c r="CB55" i="1"/>
  <c r="CB53" i="1"/>
  <c r="CB56" i="1"/>
  <c r="CB57" i="1"/>
  <c r="CF142" i="1" l="1"/>
  <c r="CE142" i="1"/>
  <c r="CE57" i="1"/>
  <c r="CE55" i="1"/>
  <c r="CE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Hjalmar Wikholm</author>
    <author>Elin Emfeldt</author>
  </authors>
  <commentList>
    <comment ref="BV36" authorId="0" shapeId="0" xr:uid="{00000000-0006-0000-0000-000001000000}">
      <text>
        <r>
          <rPr>
            <sz val="9"/>
            <color indexed="81"/>
            <rFont val="Tahoma"/>
            <family val="2"/>
          </rPr>
          <t>Including the Swedish Financial Supervisory Authority’s administrative fee of SEK 35 million  on the subsidiary Försäkringsaktiebolaget Avanza Pension</t>
        </r>
      </text>
    </comment>
    <comment ref="BR64" authorId="1" shapeId="0" xr:uid="{66FB78EC-B7E2-44A7-AC33-F044B4C267BA}">
      <text>
        <r>
          <rPr>
            <sz val="9"/>
            <color indexed="81"/>
            <rFont val="Tahoma"/>
            <family val="2"/>
          </rPr>
          <t>Restated from 1,52 to 1,55. See note 4 in the Interim Report January-March 2018.</t>
        </r>
      </text>
    </comment>
    <comment ref="BV73" authorId="0" shapeId="0" xr:uid="{00000000-0006-0000-0000-000003000000}">
      <text>
        <r>
          <rPr>
            <sz val="9"/>
            <color indexed="81"/>
            <rFont val="Tahoma"/>
            <family val="2"/>
          </rPr>
          <t>Excluding administrative fee of SEK 35 million</t>
        </r>
      </text>
    </comment>
    <comment ref="BV74" authorId="0" shapeId="0" xr:uid="{00000000-0006-0000-0000-000004000000}">
      <text>
        <r>
          <rPr>
            <sz val="9"/>
            <color indexed="81"/>
            <rFont val="Tahoma"/>
            <family val="2"/>
          </rPr>
          <t>Excluding administrative fee of SEK 35 million</t>
        </r>
      </text>
    </comment>
    <comment ref="BV128" authorId="0" shapeId="0" xr:uid="{00000000-0006-0000-0000-000005000000}">
      <text>
        <r>
          <rPr>
            <sz val="9"/>
            <color indexed="81"/>
            <rFont val="Tahoma"/>
            <family val="2"/>
          </rPr>
          <t>Excluding administrative fee of SEK 35 million</t>
        </r>
      </text>
    </comment>
    <comment ref="BV129" authorId="0" shapeId="0" xr:uid="{00000000-0006-0000-0000-000006000000}">
      <text>
        <r>
          <rPr>
            <sz val="9"/>
            <color indexed="81"/>
            <rFont val="Tahoma"/>
            <family val="2"/>
          </rPr>
          <t>Excluding administrative fee of SEK 35 million</t>
        </r>
      </text>
    </comment>
    <comment ref="BV136" authorId="0" shapeId="0" xr:uid="{00000000-0006-0000-0000-000007000000}">
      <text>
        <r>
          <rPr>
            <sz val="9"/>
            <color indexed="81"/>
            <rFont val="Tahoma"/>
            <family val="2"/>
          </rPr>
          <t>Excluding administrative fee of SEK 35 million</t>
        </r>
      </text>
    </comment>
    <comment ref="BV137" authorId="0" shapeId="0" xr:uid="{00000000-0006-0000-0000-000008000000}">
      <text>
        <r>
          <rPr>
            <sz val="9"/>
            <color indexed="81"/>
            <rFont val="Tahoma"/>
            <family val="2"/>
          </rPr>
          <t>Excluding administrative fee of SEK 35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Hjalmar Wikholm</author>
  </authors>
  <commentList>
    <comment ref="S72" authorId="0" shapeId="0" xr:uid="{00000000-0006-0000-0100-000001000000}">
      <text>
        <r>
          <rPr>
            <sz val="9"/>
            <color indexed="81"/>
            <rFont val="Tahoma"/>
            <family val="2"/>
          </rPr>
          <t>Excluding administrative fee of SEK 35 million</t>
        </r>
      </text>
    </comment>
    <comment ref="S73" authorId="0" shapeId="0" xr:uid="{00000000-0006-0000-0100-000002000000}">
      <text>
        <r>
          <rPr>
            <sz val="9"/>
            <color indexed="81"/>
            <rFont val="Tahoma"/>
            <family val="2"/>
          </rPr>
          <t>Excluding administrative fee of SEK 35 million</t>
        </r>
      </text>
    </comment>
    <comment ref="S127" authorId="0" shapeId="0" xr:uid="{00000000-0006-0000-0100-000003000000}">
      <text>
        <r>
          <rPr>
            <sz val="9"/>
            <color indexed="81"/>
            <rFont val="Tahoma"/>
            <family val="2"/>
          </rPr>
          <t>Excluding administrative fee of SEK 35 million</t>
        </r>
      </text>
    </comment>
    <comment ref="S128" authorId="0" shapeId="0" xr:uid="{00000000-0006-0000-0100-000004000000}">
      <text>
        <r>
          <rPr>
            <sz val="9"/>
            <color indexed="81"/>
            <rFont val="Tahoma"/>
            <family val="2"/>
          </rPr>
          <t>Excluding administrative fee of SEK 35 million</t>
        </r>
      </text>
    </comment>
    <comment ref="S135" authorId="0" shapeId="0" xr:uid="{00000000-0006-0000-0100-000005000000}">
      <text>
        <r>
          <rPr>
            <sz val="9"/>
            <color indexed="81"/>
            <rFont val="Tahoma"/>
            <family val="2"/>
          </rPr>
          <t>Excluding administrative fee of SEK 35 million</t>
        </r>
      </text>
    </comment>
    <comment ref="S136" authorId="0" shapeId="0" xr:uid="{00000000-0006-0000-0100-000006000000}">
      <text>
        <r>
          <rPr>
            <sz val="9"/>
            <color indexed="81"/>
            <rFont val="Tahoma"/>
            <family val="2"/>
          </rPr>
          <t>Excluding administrative fee of SEK 35 million</t>
        </r>
      </text>
    </comment>
  </commentList>
</comments>
</file>

<file path=xl/sharedStrings.xml><?xml version="1.0" encoding="utf-8"?>
<sst xmlns="http://schemas.openxmlformats.org/spreadsheetml/2006/main" count="2974" uniqueCount="251">
  <si>
    <t>Q1/01</t>
  </si>
  <si>
    <t>Q2/01</t>
  </si>
  <si>
    <t>Q3/01</t>
  </si>
  <si>
    <t>Q4/01</t>
  </si>
  <si>
    <t>Q1/02</t>
  </si>
  <si>
    <t>Q2/02</t>
  </si>
  <si>
    <t>Q3/02</t>
  </si>
  <si>
    <t>Q4/04</t>
  </si>
  <si>
    <t>Q1/03</t>
  </si>
  <si>
    <t>Q2/03</t>
  </si>
  <si>
    <t>Q3/03</t>
  </si>
  <si>
    <t>Q4/03</t>
  </si>
  <si>
    <t>Q1/04</t>
  </si>
  <si>
    <t>Q2/04</t>
  </si>
  <si>
    <t>Q3/04</t>
  </si>
  <si>
    <t>Q1/05</t>
  </si>
  <si>
    <t>Q2/05</t>
  </si>
  <si>
    <t>Q3/05</t>
  </si>
  <si>
    <t>Q4/05</t>
  </si>
  <si>
    <t>Q1/06</t>
  </si>
  <si>
    <t>Q2/06</t>
  </si>
  <si>
    <t>Q3/06</t>
  </si>
  <si>
    <t>Q4/06</t>
  </si>
  <si>
    <t>Q1/07</t>
  </si>
  <si>
    <t>Q2/07</t>
  </si>
  <si>
    <t>Avanza</t>
  </si>
  <si>
    <t>Brokerage income</t>
  </si>
  <si>
    <t>Net interest income</t>
  </si>
  <si>
    <t>Net result of financial transactions</t>
  </si>
  <si>
    <t>Brokerage expenses</t>
  </si>
  <si>
    <t>Net brokerage income</t>
  </si>
  <si>
    <t>Depreciation</t>
  </si>
  <si>
    <t>Trading days</t>
  </si>
  <si>
    <t>Number of customers, thousands</t>
  </si>
  <si>
    <t>Yield</t>
  </si>
  <si>
    <t>N.A.</t>
  </si>
  <si>
    <t>Price / BV</t>
  </si>
  <si>
    <t>CAGR</t>
  </si>
  <si>
    <t>Annual data</t>
  </si>
  <si>
    <t>Quarterly data</t>
  </si>
  <si>
    <t>Operating margin</t>
  </si>
  <si>
    <t>Tax rate</t>
  </si>
  <si>
    <t>Q4/02</t>
  </si>
  <si>
    <t>Other operating income</t>
  </si>
  <si>
    <t>NEG.</t>
  </si>
  <si>
    <t>Q4/00</t>
  </si>
  <si>
    <t>Annualised interest rate on deposits</t>
  </si>
  <si>
    <t>P/E, based on historical rolling 12-month profits</t>
  </si>
  <si>
    <t>Price / Savings capital</t>
  </si>
  <si>
    <t>Q3/07</t>
  </si>
  <si>
    <t>-</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</si>
  <si>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</si>
  <si>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</si>
  <si>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</si>
  <si>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</si>
  <si>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</si>
  <si>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</si>
  <si>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</si>
  <si>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</si>
  <si>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</si>
  <si>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</si>
  <si>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</si>
  <si>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</si>
  <si>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</si>
  <si>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</si>
  <si>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</si>
  <si>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</si>
  <si>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</si>
  <si>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</si>
  <si>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</si>
  <si>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</si>
  <si>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</si>
  <si>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</si>
  <si>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</si>
  <si>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</si>
  <si>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</si>
  <si>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</si>
  <si>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Annualised income per customer, SEK</t>
  </si>
  <si>
    <t>Annualised expenses per customer, SEK</t>
  </si>
  <si>
    <t>Annualised operating profit per customer, SEK</t>
  </si>
  <si>
    <t>Q2/14</t>
  </si>
  <si>
    <t>Q3/14</t>
  </si>
  <si>
    <t>Q4/14</t>
  </si>
  <si>
    <t>Q1/15</t>
  </si>
  <si>
    <t>P&amp;L, SEK m</t>
  </si>
  <si>
    <t>Savings capital per customer, SEK m</t>
  </si>
  <si>
    <t>Annualised income per employee, SEK m</t>
  </si>
  <si>
    <t>Annualised expenses per employee, SEK m</t>
  </si>
  <si>
    <t>Annualised operating profit per employee, SEK m</t>
  </si>
  <si>
    <t>Market capitalisation, SEK m</t>
  </si>
  <si>
    <t>Q2/15</t>
  </si>
  <si>
    <t>Total operating income</t>
  </si>
  <si>
    <t>Operating profit before credit losses</t>
  </si>
  <si>
    <t>Credit losses, net</t>
  </si>
  <si>
    <t>Total operating expenses / Savings capital</t>
  </si>
  <si>
    <t>Operating profit / Savings capital</t>
  </si>
  <si>
    <t>Cost / income ratio</t>
  </si>
  <si>
    <t>Shareholders equity, SEK m</t>
  </si>
  <si>
    <t>Q3/15</t>
  </si>
  <si>
    <t>Q4/15</t>
  </si>
  <si>
    <t>Interest expenses</t>
  </si>
  <si>
    <t>Q1/16</t>
  </si>
  <si>
    <t>Avanza takes no responsibility if any figures are incorrect.
This Excel-file is available on avanza.se/keydata</t>
  </si>
  <si>
    <t>Q2/16</t>
  </si>
  <si>
    <t>Q3/16</t>
  </si>
  <si>
    <t>Total operating income / Savings capital</t>
  </si>
  <si>
    <t>Q4/16</t>
  </si>
  <si>
    <t>Q1/17</t>
  </si>
  <si>
    <t>Q2/17</t>
  </si>
  <si>
    <t>Q3/17</t>
  </si>
  <si>
    <t>Total turnover, SEK m</t>
  </si>
  <si>
    <t>Q4/17</t>
  </si>
  <si>
    <t>Q1/18</t>
  </si>
  <si>
    <t>Q2/18</t>
  </si>
  <si>
    <t>Credit losses / Internally financed lending</t>
  </si>
  <si>
    <t>Net brokerage income per trading day, SEK m</t>
  </si>
  <si>
    <t>Avanza Markets income</t>
  </si>
  <si>
    <t>Corporate Finance income</t>
  </si>
  <si>
    <t>Personnel</t>
  </si>
  <si>
    <t>Marketing</t>
  </si>
  <si>
    <t>Other expenses</t>
  </si>
  <si>
    <t>Annualised interest rate on internally financed lending</t>
  </si>
  <si>
    <t>Number of employees (FTEs)</t>
  </si>
  <si>
    <t>Average number of employees (FTEs)</t>
  </si>
  <si>
    <t>Return on shareholders equity (annualised)</t>
  </si>
  <si>
    <t>Profit margin</t>
  </si>
  <si>
    <t>OTHER FINANCIAL DATA</t>
  </si>
  <si>
    <t>CUSTOMER DATA</t>
  </si>
  <si>
    <t>SAVINGS CAPITAL DISTRIBUTION</t>
  </si>
  <si>
    <t>TRADING DATA</t>
  </si>
  <si>
    <t>EMPLOYEE DATA</t>
  </si>
  <si>
    <t>SHARE DATA</t>
  </si>
  <si>
    <t>MARKET SHARES</t>
  </si>
  <si>
    <t>NOTES</t>
  </si>
  <si>
    <t>KEY RATIOS - DEPOSITS AND LENDING</t>
  </si>
  <si>
    <t>Number of new customers (net), thousands</t>
  </si>
  <si>
    <t>INCOME AND COSTS PER SAVINGS CAPITAL (ANNUALISED)</t>
  </si>
  <si>
    <t>Number of transactions, Nasdaq Stockholm, &amp; First North, market share</t>
  </si>
  <si>
    <t>Turnover, Nasdaq Stockholm &amp; First North, market share</t>
  </si>
  <si>
    <t>INCOME AND COSTS PER SAVINGS CAPITAL</t>
  </si>
  <si>
    <t>Q3/18</t>
  </si>
  <si>
    <t>Q4/18</t>
  </si>
  <si>
    <t>Profit/loss from participations in associated companies</t>
  </si>
  <si>
    <t>Q1/19</t>
  </si>
  <si>
    <t>Q2/19</t>
  </si>
  <si>
    <t>Q3/19</t>
  </si>
  <si>
    <t>Q4/19</t>
  </si>
  <si>
    <t>Q1/20</t>
  </si>
  <si>
    <t>Q2/20</t>
  </si>
  <si>
    <t>Q3/20</t>
  </si>
  <si>
    <t>Q4/20</t>
  </si>
  <si>
    <t>Adjusted operating profit</t>
  </si>
  <si>
    <t>Taxes</t>
  </si>
  <si>
    <t>Q1/21</t>
  </si>
  <si>
    <t>Avanza - Quarterly Key Data 2001-2021</t>
  </si>
  <si>
    <t xml:space="preserve">   of which foreign trading, SEK m</t>
  </si>
  <si>
    <t>Profit for the period</t>
  </si>
  <si>
    <t>Total other income, net</t>
  </si>
  <si>
    <t>SAVINGS CAPITAL DISTRIBUTION, SEK m</t>
  </si>
  <si>
    <t>Equities, bonds, derivatives etc</t>
  </si>
  <si>
    <t>Fund capital</t>
  </si>
  <si>
    <t>Deposits</t>
  </si>
  <si>
    <t xml:space="preserve">   of which, external deposit accounts</t>
  </si>
  <si>
    <t xml:space="preserve">   of which, client fund accounts</t>
  </si>
  <si>
    <t xml:space="preserve">   of which Pension &amp; insurance savings capital</t>
  </si>
  <si>
    <t xml:space="preserve">        of which Endowment insurance</t>
  </si>
  <si>
    <t xml:space="preserve">        of which Occupational pensions</t>
  </si>
  <si>
    <t>SAVINGS CAPITAL PER CUSTOMER TYPE, SEK m</t>
  </si>
  <si>
    <t>Standard offer</t>
  </si>
  <si>
    <t>Private Banking</t>
  </si>
  <si>
    <t>Pro</t>
  </si>
  <si>
    <t>LENDING, SEK m</t>
  </si>
  <si>
    <t>Internally financed lending</t>
  </si>
  <si>
    <t>External mortgage loans (Bolån+)</t>
  </si>
  <si>
    <t xml:space="preserve">   of which margin lending</t>
  </si>
  <si>
    <t xml:space="preserve">   of which mortgage loans (Superbolånet PB)</t>
  </si>
  <si>
    <t>Cost/income ratio</t>
  </si>
  <si>
    <t>Deposits/Savings capital</t>
  </si>
  <si>
    <t>Credit losses/Internally financed lending</t>
  </si>
  <si>
    <t>Total operating income/Savings capital</t>
  </si>
  <si>
    <t>Total operating expenses/Savings capital</t>
  </si>
  <si>
    <t>Operating profit/Savings capital</t>
  </si>
  <si>
    <t>Price/BV</t>
  </si>
  <si>
    <t>Price/Savings capital</t>
  </si>
  <si>
    <t>Total number of commission notes</t>
  </si>
  <si>
    <t>Brokerage-generating turnover/trading day, SEK m</t>
  </si>
  <si>
    <t>Number of brokerage-generating notes/trading day</t>
  </si>
  <si>
    <t>Number of brokerage-generating notes per customer</t>
  </si>
  <si>
    <t>Brokerage income/Turnover in brokerage-generating securities</t>
  </si>
  <si>
    <t>FINANCIAL DATA</t>
  </si>
  <si>
    <t>Net inflow on the Swedish savings market, SEK m</t>
  </si>
  <si>
    <t>Total savings capital on the Swedish savings market, SEK m</t>
  </si>
  <si>
    <t xml:space="preserve">   Avanza market share</t>
  </si>
  <si>
    <t>Premiums paid to the Swedish life and insurance market, SEK m</t>
  </si>
  <si>
    <t xml:space="preserve">   Avanza market share rolling 12-month</t>
  </si>
  <si>
    <t>Avanza - Annual Key Data 2001-2020</t>
  </si>
  <si>
    <t>Non transaction-related income</t>
  </si>
  <si>
    <t>Fund commissions, net</t>
  </si>
  <si>
    <t>Total non transaction-related income, net</t>
  </si>
  <si>
    <t>Interest income</t>
  </si>
  <si>
    <t>Other commission income</t>
  </si>
  <si>
    <t>Other commission expenses</t>
  </si>
  <si>
    <t>Total operating expenses before credit losses</t>
  </si>
  <si>
    <t>Operating profit</t>
  </si>
  <si>
    <t>Savings capital, total</t>
  </si>
  <si>
    <t>Lending, total</t>
  </si>
  <si>
    <t>Premiums paid for non-collective agreement occupational pension insurance, SEK m</t>
  </si>
  <si>
    <t xml:space="preserve">CET 1 ratio, consolidated situation </t>
  </si>
  <si>
    <t>Capital ratio, consolidated situation</t>
  </si>
  <si>
    <t>Return on shareholders equity</t>
  </si>
  <si>
    <t>NET INFLOW, SEK m</t>
  </si>
  <si>
    <t>Net inflow, total</t>
  </si>
  <si>
    <t>Deposits / Savings capital</t>
  </si>
  <si>
    <t>N.A</t>
  </si>
  <si>
    <t>2016-20</t>
  </si>
  <si>
    <r>
      <t>Other commission income, net</t>
    </r>
    <r>
      <rPr>
        <i/>
        <vertAlign val="superscript"/>
        <sz val="10"/>
        <rFont val="Roboto"/>
      </rPr>
      <t>1</t>
    </r>
  </si>
  <si>
    <r>
      <t>Earnings per share, SEK</t>
    </r>
    <r>
      <rPr>
        <vertAlign val="superscript"/>
        <sz val="10"/>
        <rFont val="Roboto"/>
      </rPr>
      <t>2</t>
    </r>
  </si>
  <si>
    <r>
      <t>Earnings per share after dilution, SEK</t>
    </r>
    <r>
      <rPr>
        <vertAlign val="superscript"/>
        <sz val="10"/>
        <rFont val="Roboto"/>
      </rPr>
      <t>2</t>
    </r>
  </si>
  <si>
    <r>
      <t>Leverage ratio, consolidated situation</t>
    </r>
    <r>
      <rPr>
        <vertAlign val="superscript"/>
        <sz val="10"/>
        <rFont val="Roboto"/>
      </rPr>
      <t>3</t>
    </r>
  </si>
  <si>
    <r>
      <t>Capital ratio, financial conglomerate</t>
    </r>
    <r>
      <rPr>
        <vertAlign val="superscript"/>
        <sz val="10"/>
        <rFont val="Roboto"/>
      </rPr>
      <t>4</t>
    </r>
  </si>
  <si>
    <r>
      <t xml:space="preserve">  of which brokerage-generating notes</t>
    </r>
    <r>
      <rPr>
        <vertAlign val="superscript"/>
        <sz val="10"/>
        <rFont val="Roboto"/>
      </rPr>
      <t>5</t>
    </r>
  </si>
  <si>
    <r>
      <t xml:space="preserve"> of which turnover in brokerage-generating securities, SEK m</t>
    </r>
    <r>
      <rPr>
        <vertAlign val="superscript"/>
        <sz val="10"/>
        <rFont val="Roboto"/>
      </rPr>
      <t>6</t>
    </r>
  </si>
  <si>
    <r>
      <t>Share price at end of period, SEK</t>
    </r>
    <r>
      <rPr>
        <vertAlign val="superscript"/>
        <sz val="10"/>
        <rFont val="Roboto"/>
      </rPr>
      <t>2</t>
    </r>
  </si>
  <si>
    <r>
      <t>Dividend per share, SEK</t>
    </r>
    <r>
      <rPr>
        <vertAlign val="superscript"/>
        <sz val="10"/>
        <rFont val="Roboto"/>
      </rPr>
      <t>2</t>
    </r>
  </si>
  <si>
    <r>
      <t>Number of outstanding shares</t>
    </r>
    <r>
      <rPr>
        <vertAlign val="superscript"/>
        <sz val="10"/>
        <rFont val="Roboto"/>
      </rPr>
      <t>2</t>
    </r>
  </si>
  <si>
    <r>
      <t>Average number of shares</t>
    </r>
    <r>
      <rPr>
        <vertAlign val="superscript"/>
        <sz val="10"/>
        <rFont val="Roboto"/>
      </rPr>
      <t>2</t>
    </r>
  </si>
  <si>
    <r>
      <t>Diluted average number of shares</t>
    </r>
    <r>
      <rPr>
        <vertAlign val="superscript"/>
        <sz val="10"/>
        <rFont val="Roboto"/>
      </rPr>
      <t>2</t>
    </r>
  </si>
  <si>
    <r>
      <rPr>
        <vertAlign val="superscript"/>
        <sz val="10"/>
        <rFont val="Roboto"/>
      </rPr>
      <t>2</t>
    </r>
    <r>
      <rPr>
        <sz val="10"/>
        <rFont val="Roboto"/>
      </rPr>
      <t xml:space="preserve"> Updated according to the share split in April 2019.</t>
    </r>
  </si>
  <si>
    <r>
      <t>6</t>
    </r>
    <r>
      <rPr>
        <sz val="10"/>
        <rFont val="Roboto"/>
      </rPr>
      <t xml:space="preserve"> Excluding turnover in mutual funds and Avanza Markets.</t>
    </r>
  </si>
  <si>
    <r>
      <rPr>
        <vertAlign val="superscript"/>
        <sz val="10"/>
        <rFont val="Roboto"/>
      </rPr>
      <t xml:space="preserve">7 </t>
    </r>
    <r>
      <rPr>
        <sz val="10"/>
        <rFont val="Roboto"/>
      </rPr>
      <t>Calculated on average fund volumes per day from 2019.</t>
    </r>
  </si>
  <si>
    <r>
      <t>Fund commissions / Investment funds</t>
    </r>
    <r>
      <rPr>
        <vertAlign val="superscript"/>
        <sz val="10"/>
        <rFont val="Roboto"/>
      </rPr>
      <t>7</t>
    </r>
  </si>
  <si>
    <r>
      <t>Earnings per share before dilution, SEK</t>
    </r>
    <r>
      <rPr>
        <vertAlign val="superscript"/>
        <sz val="10"/>
        <rFont val="Roboto"/>
      </rPr>
      <t>2</t>
    </r>
  </si>
  <si>
    <t>Currency-related income, net</t>
  </si>
  <si>
    <t>Purely transaction-related income</t>
  </si>
  <si>
    <t>Total purely transaction-related income, net</t>
  </si>
  <si>
    <r>
      <t>Total savings capital in non-collective agreement ocupational pension insurance, SEK m</t>
    </r>
    <r>
      <rPr>
        <vertAlign val="superscript"/>
        <sz val="10"/>
        <rFont val="Roboto"/>
      </rPr>
      <t>8</t>
    </r>
  </si>
  <si>
    <t>Premiums paid to the Swedish life and insurance market rolling 12-month, SEK m</t>
  </si>
  <si>
    <t>Premiums paid for non-collective agreement occupational pension insurance rolling 12-month, SEK m</t>
  </si>
  <si>
    <t>CET 1 ratio, consolidated situation</t>
  </si>
  <si>
    <r>
      <t>3</t>
    </r>
    <r>
      <rPr>
        <sz val="10"/>
        <rFont val="Roboto"/>
      </rPr>
      <t xml:space="preserve"> Regulatory requirement of a leverage ratio of 3 per cent takes effect at mid-year 2021. Avanza’s consolidated situation refers to Avanza Bank Holding AB (publ) and the subsidiaries Avanza Bank AB (publ) and Avanza Fonder AB.</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</si>
  <si>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</si>
  <si>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</si>
  <si>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t>Updated 2021-06-30</t>
  </si>
  <si>
    <t>Average daily active users, thousands</t>
  </si>
  <si>
    <t>Updated in Sept 2021</t>
  </si>
  <si>
    <r>
      <t>5</t>
    </r>
    <r>
      <rPr>
        <sz val="10"/>
        <rFont val="Roboto"/>
      </rPr>
      <t xml:space="preserve"> Excluding commission notes for mutual funds, non-brokerage generating trades within Avanza Markets and brokerage class "Start", as well as institutional customers</t>
    </r>
    <r>
      <rPr>
        <vertAlign val="superscript"/>
        <sz val="10"/>
        <rFont val="Roboto"/>
      </rPr>
      <t>.</t>
    </r>
  </si>
  <si>
    <r>
      <t xml:space="preserve">8 </t>
    </r>
    <r>
      <rPr>
        <sz val="10"/>
        <rFont val="Roboto"/>
      </rPr>
      <t>The occupational pension market can be divided into traditional life and unit-linked insurance. Unit linked amounts for about a third, of which Avanza is active in the portion outside collectively agreed occupational pensions.</t>
    </r>
  </si>
  <si>
    <t>Internally financed lending/internal deposits</t>
  </si>
  <si>
    <t>Q2/21</t>
  </si>
  <si>
    <r>
      <t>Fund commissions net/Fund capital</t>
    </r>
    <r>
      <rPr>
        <vertAlign val="superscript"/>
        <sz val="10"/>
        <rFont val="Roboto"/>
      </rPr>
      <t>7</t>
    </r>
  </si>
  <si>
    <r>
      <rPr>
        <vertAlign val="superscript"/>
        <sz val="10"/>
        <rFont val="Roboto"/>
      </rPr>
      <t>1</t>
    </r>
    <r>
      <rPr>
        <sz val="10"/>
        <rFont val="Roboto"/>
      </rPr>
      <t xml:space="preserve"> Net currency-related income has been separated from Other income. Figures as of 2016 have been adjusted.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</si>
</sst>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0.0%"/>
    <numFmt numFmtId="167" formatCode="0.000%"/>
    <numFmt numFmtId="168" formatCode="#,##0.0000"/>
    <numFmt numFmtId="169" formatCode="#,##0.000000"/>
    <numFmt numFmtId="170" formatCode="#,##0.00000"/>
    <numFmt numFmtId="171" formatCode="0.0"/>
    <numFmt numFmtId="172" formatCode="#,##0.00000000"/>
  </numFmts>
  <fonts count="31" x14ac:knownFonts="1">
    <font>
      <sz val="10"/>
      <name val="Arial"/>
    </font>
    <font>
      <sz val="10"/>
      <name val="Arial"/>
      <family val="2"/>
    </font>
    <font>
      <sz val="10"/>
      <color indexed="10"/>
      <name val="Roboto"/>
    </font>
    <font>
      <sz val="10"/>
      <name val="Roboto"/>
    </font>
    <font>
      <sz val="8"/>
      <name val="Roboto"/>
    </font>
    <font>
      <b/>
      <sz val="10"/>
      <name val="Roboto"/>
    </font>
    <font>
      <b/>
      <sz val="10"/>
      <color indexed="10"/>
      <name val="Roboto"/>
    </font>
    <font>
      <vertAlign val="superscript"/>
      <sz val="10"/>
      <name val="Roboto"/>
    </font>
    <font>
      <u/>
      <sz val="10"/>
      <name val="Roboto"/>
    </font>
    <font>
      <u/>
      <sz val="10"/>
      <color indexed="10"/>
      <name val="Roboto"/>
    </font>
    <font>
      <sz val="9"/>
      <name val="Roboto"/>
    </font>
    <font>
      <sz val="9"/>
      <color indexed="81"/>
      <name val="Tahoma"/>
      <family val="2"/>
    </font>
    <font>
      <sz val="11"/>
      <color theme="1"/>
      <name val="Roboto"/>
      <family val="2"/>
      <scheme val="minor"/>
    </font>
    <font>
      <sz val="10"/>
      <color rgb="FFFF0000"/>
      <name val="Roboto"/>
    </font>
    <font>
      <b/>
      <sz val="10"/>
      <color rgb="FFFF0000"/>
      <name val="Roboto"/>
    </font>
    <font>
      <b/>
      <sz val="10"/>
      <color rgb="FFFFFFFF"/>
      <name val="Roboto"/>
    </font>
    <font>
      <sz val="10"/>
      <color rgb="FFFFFFFF"/>
      <name val="Roboto"/>
    </font>
    <font>
      <b/>
      <sz val="10"/>
      <color theme="4"/>
      <name val="Roboto"/>
    </font>
    <font>
      <b/>
      <sz val="11"/>
      <color theme="4"/>
      <name val="Roboto Avanza Slab"/>
      <scheme val="major"/>
    </font>
    <font>
      <i/>
      <sz val="10"/>
      <name val="Roboto"/>
    </font>
    <font>
      <i/>
      <sz val="10"/>
      <color indexed="10"/>
      <name val="Roboto"/>
    </font>
    <font>
      <i/>
      <sz val="10"/>
      <name val="Arial"/>
      <family val="2"/>
    </font>
    <font>
      <sz val="10"/>
      <color theme="5"/>
      <name val="Roboto"/>
    </font>
    <font>
      <b/>
      <sz val="10"/>
      <color theme="5"/>
      <name val="Roboto"/>
    </font>
    <font>
      <b/>
      <i/>
      <sz val="10"/>
      <color theme="4"/>
      <name val="Roboto"/>
    </font>
    <font>
      <b/>
      <sz val="10"/>
      <name val="Arial"/>
      <family val="2"/>
    </font>
    <font>
      <sz val="10"/>
      <color theme="5"/>
      <name val="Arial"/>
      <family val="2"/>
    </font>
    <font>
      <sz val="10"/>
      <color rgb="FFFF0000"/>
      <name val="Arial"/>
      <family val="2"/>
    </font>
    <font>
      <b/>
      <sz val="10"/>
      <color theme="0"/>
      <name val="Roboto"/>
    </font>
    <font>
      <i/>
      <vertAlign val="superscript"/>
      <sz val="10"/>
      <name val="Roboto"/>
    </font>
    <font>
      <sz val="6"/>
      <name val="Roboto"/>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s>
  <cellStyleXfs count="3">
    <xf numFmtId="0" fontId="0" fillId="0" borderId="0"/>
    <xf numFmtId="0" fontId="12" fillId="0" borderId="0"/>
    <xf numFmtId="9" fontId="1" fillId="0" borderId="0" applyFont="0" applyFill="0" applyBorder="0" applyAlignment="0" applyProtection="0"/>
  </cellStyleXfs>
  <cellXfs count="513">
    <xf numFmtId="0" fontId="0" fillId="0" borderId="0" xfId="0"/>
    <xf numFmtId="0" fontId="2" fillId="0" borderId="0" xfId="0" applyFont="1" applyFill="1"/>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xf numFmtId="0" fontId="4" fillId="0" borderId="0" xfId="0" applyFont="1" applyFill="1" applyAlignment="1">
      <alignment vertical="top" wrapText="1"/>
    </xf>
    <xf numFmtId="0" fontId="3" fillId="0" borderId="0" xfId="0" applyFont="1" applyFill="1" applyAlignment="1">
      <alignment horizontal="left"/>
    </xf>
    <xf numFmtId="3" fontId="3" fillId="0" borderId="0" xfId="0" applyNumberFormat="1" applyFont="1" applyFill="1" applyBorder="1" applyAlignment="1">
      <alignment horizontal="right"/>
    </xf>
    <xf numFmtId="0" fontId="5" fillId="0" borderId="1" xfId="0" applyFont="1" applyFill="1" applyBorder="1"/>
    <xf numFmtId="0" fontId="6" fillId="0" borderId="2" xfId="0" applyFont="1" applyFill="1" applyBorder="1"/>
    <xf numFmtId="0" fontId="3" fillId="0" borderId="3" xfId="0" applyFont="1" applyFill="1" applyBorder="1"/>
    <xf numFmtId="0" fontId="2" fillId="0" borderId="0" xfId="0" applyFont="1" applyFill="1" applyBorder="1"/>
    <xf numFmtId="0" fontId="3" fillId="0" borderId="4" xfId="0" applyFont="1" applyFill="1" applyBorder="1"/>
    <xf numFmtId="0" fontId="5" fillId="0" borderId="5" xfId="0" applyFont="1" applyFill="1" applyBorder="1" applyAlignment="1">
      <alignment horizontal="right"/>
    </xf>
    <xf numFmtId="0" fontId="5" fillId="0" borderId="6" xfId="0" applyFont="1" applyFill="1" applyBorder="1" applyAlignment="1">
      <alignment horizontal="right"/>
    </xf>
    <xf numFmtId="0" fontId="5" fillId="0" borderId="7" xfId="0" applyFont="1" applyFill="1" applyBorder="1" applyAlignment="1">
      <alignment horizontal="right"/>
    </xf>
    <xf numFmtId="0" fontId="5" fillId="0" borderId="8" xfId="0" applyFont="1" applyFill="1" applyBorder="1" applyAlignment="1">
      <alignment horizontal="right"/>
    </xf>
    <xf numFmtId="0" fontId="5" fillId="0" borderId="9" xfId="0" applyFont="1" applyFill="1" applyBorder="1" applyAlignment="1">
      <alignment horizontal="right"/>
    </xf>
    <xf numFmtId="0" fontId="5" fillId="0" borderId="10" xfId="0" applyFont="1" applyFill="1" applyBorder="1" applyAlignment="1">
      <alignment horizontal="right"/>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11" xfId="0" applyFont="1" applyFill="1" applyBorder="1" applyAlignment="1">
      <alignment horizontal="right"/>
    </xf>
    <xf numFmtId="0" fontId="5" fillId="0" borderId="12" xfId="0" applyFont="1" applyFill="1" applyBorder="1" applyAlignment="1">
      <alignment horizontal="right"/>
    </xf>
    <xf numFmtId="0" fontId="6" fillId="0" borderId="5" xfId="0" applyFont="1" applyFill="1" applyBorder="1" applyAlignment="1">
      <alignment horizontal="righ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49" fontId="5" fillId="0" borderId="17"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10"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3" xfId="0" applyNumberFormat="1" applyFont="1" applyFill="1" applyBorder="1" applyAlignment="1">
      <alignment horizontal="right"/>
    </xf>
    <xf numFmtId="0" fontId="3" fillId="0" borderId="19" xfId="0" applyFont="1" applyFill="1" applyBorder="1"/>
    <xf numFmtId="0" fontId="2" fillId="0" borderId="20" xfId="0" applyFont="1" applyFill="1" applyBorder="1"/>
    <xf numFmtId="3" fontId="3" fillId="0" borderId="21" xfId="0" applyNumberFormat="1" applyFont="1" applyFill="1" applyBorder="1" applyAlignment="1">
      <alignment horizontal="right"/>
    </xf>
    <xf numFmtId="3" fontId="3" fillId="0" borderId="22" xfId="0" applyNumberFormat="1" applyFont="1" applyFill="1" applyBorder="1" applyAlignment="1">
      <alignment horizontal="right"/>
    </xf>
    <xf numFmtId="3" fontId="3" fillId="0" borderId="20"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24" xfId="0" applyNumberFormat="1" applyFont="1" applyFill="1" applyBorder="1" applyAlignment="1">
      <alignment horizontal="right"/>
    </xf>
    <xf numFmtId="9" fontId="3" fillId="0" borderId="25" xfId="2" applyFont="1" applyFill="1" applyBorder="1" applyAlignment="1">
      <alignment horizontal="right"/>
    </xf>
    <xf numFmtId="0" fontId="3" fillId="0" borderId="26" xfId="0" applyFont="1" applyFill="1" applyBorder="1"/>
    <xf numFmtId="0" fontId="2" fillId="0" borderId="27" xfId="0" applyFont="1" applyFill="1" applyBorder="1"/>
    <xf numFmtId="3" fontId="3" fillId="0" borderId="28" xfId="0" applyNumberFormat="1" applyFont="1" applyFill="1" applyBorder="1" applyAlignment="1">
      <alignment horizontal="right"/>
    </xf>
    <xf numFmtId="3" fontId="3" fillId="0" borderId="29" xfId="0" applyNumberFormat="1" applyFont="1" applyFill="1" applyBorder="1" applyAlignment="1">
      <alignment horizontal="right"/>
    </xf>
    <xf numFmtId="3" fontId="3" fillId="0" borderId="27" xfId="0" applyNumberFormat="1" applyFont="1" applyFill="1" applyBorder="1" applyAlignment="1">
      <alignment horizontal="right"/>
    </xf>
    <xf numFmtId="3" fontId="3" fillId="0" borderId="30" xfId="0" applyNumberFormat="1" applyFont="1" applyFill="1" applyBorder="1" applyAlignment="1">
      <alignment horizontal="right"/>
    </xf>
    <xf numFmtId="3" fontId="3" fillId="0" borderId="31" xfId="0" applyNumberFormat="1" applyFont="1" applyFill="1" applyBorder="1" applyAlignment="1">
      <alignment horizontal="right"/>
    </xf>
    <xf numFmtId="0" fontId="5" fillId="0" borderId="26" xfId="0" applyFont="1" applyFill="1" applyBorder="1"/>
    <xf numFmtId="0" fontId="6" fillId="0" borderId="27" xfId="0" applyFont="1" applyFill="1" applyBorder="1"/>
    <xf numFmtId="3" fontId="5" fillId="0" borderId="28" xfId="0" applyNumberFormat="1" applyFont="1" applyFill="1" applyBorder="1" applyAlignment="1">
      <alignment horizontal="right"/>
    </xf>
    <xf numFmtId="3" fontId="5" fillId="0" borderId="27" xfId="0" applyNumberFormat="1" applyFont="1" applyFill="1" applyBorder="1" applyAlignment="1">
      <alignment horizontal="right"/>
    </xf>
    <xf numFmtId="3" fontId="5" fillId="0" borderId="29"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31" xfId="0" applyNumberFormat="1" applyFont="1" applyFill="1" applyBorder="1" applyAlignment="1">
      <alignment horizontal="right"/>
    </xf>
    <xf numFmtId="9" fontId="5" fillId="0" borderId="25" xfId="2" applyFont="1" applyFill="1" applyBorder="1" applyAlignment="1">
      <alignment horizontal="right"/>
    </xf>
    <xf numFmtId="3" fontId="5" fillId="0" borderId="21" xfId="0" applyNumberFormat="1" applyFont="1" applyFill="1" applyBorder="1" applyAlignment="1">
      <alignment horizontal="right"/>
    </xf>
    <xf numFmtId="0" fontId="2" fillId="0" borderId="5" xfId="0" applyFont="1" applyFill="1" applyBorder="1"/>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33" xfId="0" applyNumberFormat="1" applyFont="1" applyFill="1" applyBorder="1" applyAlignment="1">
      <alignment horizontal="right"/>
    </xf>
    <xf numFmtId="0" fontId="5" fillId="0" borderId="3" xfId="0" applyFont="1" applyFill="1" applyBorder="1"/>
    <xf numFmtId="0" fontId="6" fillId="0" borderId="0" xfId="0" applyFont="1" applyFill="1" applyBorder="1"/>
    <xf numFmtId="3" fontId="5" fillId="0" borderId="8" xfId="0" applyNumberFormat="1" applyFont="1" applyFill="1" applyBorder="1" applyAlignment="1">
      <alignment horizontal="right"/>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2" xfId="0" applyNumberFormat="1" applyFont="1" applyFill="1" applyBorder="1" applyAlignment="1">
      <alignment horizontal="right"/>
    </xf>
    <xf numFmtId="3" fontId="5" fillId="0" borderId="35" xfId="0" applyNumberFormat="1" applyFont="1" applyFill="1" applyBorder="1" applyAlignment="1">
      <alignment horizontal="right"/>
    </xf>
    <xf numFmtId="9" fontId="5" fillId="0" borderId="13" xfId="2" applyFont="1" applyFill="1" applyBorder="1" applyAlignment="1">
      <alignment horizontal="right"/>
    </xf>
    <xf numFmtId="3" fontId="3" fillId="0" borderId="36" xfId="0" applyNumberFormat="1" applyFont="1" applyFill="1" applyBorder="1" applyAlignment="1">
      <alignment horizontal="right"/>
    </xf>
    <xf numFmtId="3" fontId="5" fillId="0" borderId="13" xfId="0" applyNumberFormat="1" applyFont="1" applyFill="1" applyBorder="1" applyAlignment="1">
      <alignment horizontal="right"/>
    </xf>
    <xf numFmtId="3" fontId="3" fillId="0" borderId="37" xfId="0" applyNumberFormat="1" applyFont="1" applyFill="1" applyBorder="1" applyAlignment="1">
      <alignment horizontal="right"/>
    </xf>
    <xf numFmtId="1" fontId="3" fillId="0" borderId="28" xfId="0" applyNumberFormat="1" applyFont="1" applyFill="1" applyBorder="1" applyAlignment="1">
      <alignment horizontal="right"/>
    </xf>
    <xf numFmtId="0" fontId="3" fillId="0" borderId="38" xfId="0" applyFont="1" applyFill="1" applyBorder="1"/>
    <xf numFmtId="3" fontId="3" fillId="0" borderId="39" xfId="0" applyNumberFormat="1" applyFont="1" applyFill="1" applyBorder="1" applyAlignment="1">
      <alignment horizontal="right"/>
    </xf>
    <xf numFmtId="3" fontId="3" fillId="0" borderId="40" xfId="0" applyNumberFormat="1" applyFont="1" applyFill="1" applyBorder="1" applyAlignment="1">
      <alignment horizontal="right"/>
    </xf>
    <xf numFmtId="3" fontId="3" fillId="0" borderId="41" xfId="0" applyNumberFormat="1" applyFont="1" applyFill="1" applyBorder="1" applyAlignment="1">
      <alignment horizontal="right"/>
    </xf>
    <xf numFmtId="3" fontId="3" fillId="0" borderId="42" xfId="0" applyNumberFormat="1" applyFont="1" applyFill="1" applyBorder="1" applyAlignment="1">
      <alignment horizontal="right"/>
    </xf>
    <xf numFmtId="3" fontId="5" fillId="0" borderId="18" xfId="0" applyNumberFormat="1" applyFont="1" applyFill="1" applyBorder="1" applyAlignment="1">
      <alignment horizontal="right"/>
    </xf>
    <xf numFmtId="3" fontId="5" fillId="0" borderId="36" xfId="0" applyNumberFormat="1" applyFont="1" applyFill="1" applyBorder="1" applyAlignment="1">
      <alignment horizontal="right"/>
    </xf>
    <xf numFmtId="9" fontId="5" fillId="0" borderId="17" xfId="2" applyFont="1" applyFill="1" applyBorder="1" applyAlignment="1">
      <alignment horizontal="right"/>
    </xf>
    <xf numFmtId="164" fontId="3" fillId="0" borderId="21" xfId="0" applyNumberFormat="1" applyFont="1" applyFill="1" applyBorder="1" applyAlignment="1">
      <alignment horizontal="right"/>
    </xf>
    <xf numFmtId="9" fontId="3" fillId="0" borderId="17" xfId="2" applyFont="1" applyFill="1" applyBorder="1" applyAlignment="1">
      <alignment horizontal="right"/>
    </xf>
    <xf numFmtId="9" fontId="3" fillId="0" borderId="43" xfId="2" applyFont="1" applyFill="1" applyBorder="1" applyAlignment="1">
      <alignment horizontal="right"/>
    </xf>
    <xf numFmtId="164" fontId="3" fillId="0" borderId="28" xfId="0" applyNumberFormat="1" applyFont="1" applyFill="1" applyBorder="1" applyAlignment="1">
      <alignment horizontal="right"/>
    </xf>
    <xf numFmtId="164" fontId="3" fillId="0" borderId="29" xfId="0" applyNumberFormat="1" applyFont="1" applyFill="1" applyBorder="1" applyAlignment="1">
      <alignment horizontal="right"/>
    </xf>
    <xf numFmtId="164" fontId="3" fillId="0" borderId="27" xfId="0" applyNumberFormat="1" applyFont="1" applyFill="1" applyBorder="1" applyAlignment="1">
      <alignment horizontal="right"/>
    </xf>
    <xf numFmtId="164" fontId="3" fillId="0" borderId="31" xfId="0" applyNumberFormat="1" applyFont="1" applyFill="1" applyBorder="1" applyAlignment="1">
      <alignment horizontal="right"/>
    </xf>
    <xf numFmtId="4" fontId="3" fillId="0" borderId="28" xfId="0" applyNumberFormat="1" applyFont="1" applyFill="1" applyBorder="1" applyAlignment="1">
      <alignment horizontal="right"/>
    </xf>
    <xf numFmtId="4" fontId="3" fillId="0" borderId="27" xfId="0" applyNumberFormat="1" applyFont="1" applyFill="1" applyBorder="1" applyAlignment="1">
      <alignment horizontal="right"/>
    </xf>
    <xf numFmtId="4" fontId="3" fillId="0" borderId="29" xfId="0" applyNumberFormat="1" applyFont="1" applyFill="1" applyBorder="1" applyAlignment="1">
      <alignment horizontal="right"/>
    </xf>
    <xf numFmtId="4" fontId="3" fillId="0" borderId="31"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3" fontId="13" fillId="0" borderId="8" xfId="0" applyNumberFormat="1" applyFont="1" applyFill="1" applyBorder="1" applyAlignment="1">
      <alignment horizontal="right"/>
    </xf>
    <xf numFmtId="9" fontId="3" fillId="0" borderId="13" xfId="2" applyFont="1" applyFill="1" applyBorder="1" applyAlignment="1">
      <alignment horizontal="right"/>
    </xf>
    <xf numFmtId="4" fontId="3" fillId="0" borderId="21" xfId="0" applyNumberFormat="1" applyFont="1" applyFill="1" applyBorder="1" applyAlignment="1">
      <alignment horizontal="right"/>
    </xf>
    <xf numFmtId="4" fontId="3" fillId="0" borderId="20" xfId="0" applyNumberFormat="1" applyFont="1" applyFill="1" applyBorder="1" applyAlignment="1">
      <alignment horizontal="right"/>
    </xf>
    <xf numFmtId="0" fontId="3" fillId="0" borderId="0" xfId="0" applyFont="1" applyFill="1" applyBorder="1"/>
    <xf numFmtId="0" fontId="3" fillId="0" borderId="44" xfId="0" applyFont="1" applyFill="1" applyBorder="1"/>
    <xf numFmtId="0" fontId="2" fillId="0" borderId="45" xfId="0" applyFont="1" applyFill="1" applyBorder="1"/>
    <xf numFmtId="3" fontId="3" fillId="0" borderId="46" xfId="0" applyNumberFormat="1" applyFont="1" applyFill="1" applyBorder="1" applyAlignment="1">
      <alignment horizontal="right"/>
    </xf>
    <xf numFmtId="3" fontId="3" fillId="0" borderId="47" xfId="0" applyNumberFormat="1" applyFont="1" applyFill="1" applyBorder="1" applyAlignment="1">
      <alignment horizontal="right"/>
    </xf>
    <xf numFmtId="3" fontId="3" fillId="0" borderId="45" xfId="0" applyNumberFormat="1" applyFont="1" applyFill="1" applyBorder="1" applyAlignment="1">
      <alignment horizontal="right"/>
    </xf>
    <xf numFmtId="9" fontId="3" fillId="0" borderId="48" xfId="2" applyFont="1" applyFill="1" applyBorder="1" applyAlignment="1">
      <alignment horizontal="right"/>
    </xf>
    <xf numFmtId="3" fontId="13" fillId="0" borderId="9" xfId="0" applyNumberFormat="1" applyFont="1" applyFill="1" applyBorder="1" applyAlignment="1">
      <alignment horizontal="right"/>
    </xf>
    <xf numFmtId="3" fontId="2" fillId="0" borderId="20" xfId="0" applyNumberFormat="1" applyFont="1" applyFill="1" applyBorder="1" applyAlignment="1">
      <alignment horizontal="right"/>
    </xf>
    <xf numFmtId="3" fontId="13" fillId="0" borderId="0" xfId="0" applyNumberFormat="1" applyFont="1" applyFill="1" applyBorder="1" applyAlignment="1">
      <alignment horizontal="right"/>
    </xf>
    <xf numFmtId="9" fontId="3" fillId="0" borderId="0" xfId="2" applyFont="1" applyFill="1" applyBorder="1" applyAlignment="1">
      <alignment horizontal="right"/>
    </xf>
    <xf numFmtId="0" fontId="8" fillId="0" borderId="3" xfId="0" applyFont="1" applyFill="1" applyBorder="1"/>
    <xf numFmtId="0" fontId="9" fillId="0" borderId="12" xfId="0" applyFont="1" applyFill="1" applyBorder="1"/>
    <xf numFmtId="0" fontId="2" fillId="0" borderId="50" xfId="0" applyFont="1" applyFill="1" applyBorder="1"/>
    <xf numFmtId="9" fontId="3" fillId="0" borderId="28" xfId="0" applyNumberFormat="1" applyFont="1" applyFill="1" applyBorder="1" applyAlignment="1">
      <alignment horizontal="right"/>
    </xf>
    <xf numFmtId="9" fontId="3" fillId="0" borderId="31" xfId="0" applyNumberFormat="1" applyFont="1" applyFill="1" applyBorder="1" applyAlignment="1">
      <alignment horizontal="right"/>
    </xf>
    <xf numFmtId="166" fontId="3" fillId="0" borderId="28" xfId="0" applyNumberFormat="1" applyFont="1" applyFill="1" applyBorder="1" applyAlignment="1">
      <alignment horizontal="right"/>
    </xf>
    <xf numFmtId="166" fontId="3" fillId="0" borderId="31" xfId="0" applyNumberFormat="1" applyFont="1" applyFill="1" applyBorder="1" applyAlignment="1">
      <alignment horizontal="right"/>
    </xf>
    <xf numFmtId="3" fontId="3" fillId="0" borderId="43" xfId="0" applyNumberFormat="1" applyFont="1" applyFill="1" applyBorder="1" applyAlignment="1">
      <alignment horizontal="right"/>
    </xf>
    <xf numFmtId="166" fontId="3" fillId="0" borderId="28" xfId="2" applyNumberFormat="1" applyFont="1" applyFill="1" applyBorder="1" applyAlignment="1">
      <alignment horizontal="right"/>
    </xf>
    <xf numFmtId="166" fontId="3" fillId="0" borderId="29" xfId="2" applyNumberFormat="1" applyFont="1" applyFill="1" applyBorder="1" applyAlignment="1">
      <alignment horizontal="right"/>
    </xf>
    <xf numFmtId="166" fontId="3" fillId="0" borderId="27" xfId="2" applyNumberFormat="1" applyFont="1" applyFill="1" applyBorder="1" applyAlignment="1">
      <alignment horizontal="right"/>
    </xf>
    <xf numFmtId="166" fontId="3" fillId="0" borderId="31" xfId="2" applyNumberFormat="1" applyFont="1" applyFill="1" applyBorder="1" applyAlignment="1">
      <alignment horizontal="right"/>
    </xf>
    <xf numFmtId="0" fontId="9" fillId="0" borderId="0" xfId="0" applyFont="1" applyFill="1" applyBorder="1"/>
    <xf numFmtId="164" fontId="3" fillId="0" borderId="9" xfId="0" applyNumberFormat="1" applyFont="1" applyFill="1" applyBorder="1" applyAlignment="1">
      <alignment horizontal="right"/>
    </xf>
    <xf numFmtId="10" fontId="3" fillId="0" borderId="21" xfId="0" applyNumberFormat="1" applyFont="1" applyFill="1" applyBorder="1" applyAlignment="1">
      <alignment horizontal="right"/>
    </xf>
    <xf numFmtId="10" fontId="3" fillId="0" borderId="20" xfId="0" applyNumberFormat="1" applyFont="1" applyFill="1" applyBorder="1" applyAlignment="1">
      <alignment horizontal="right"/>
    </xf>
    <xf numFmtId="10" fontId="3" fillId="0" borderId="22" xfId="0" applyNumberFormat="1" applyFont="1" applyFill="1" applyBorder="1" applyAlignment="1">
      <alignment horizontal="right"/>
    </xf>
    <xf numFmtId="10" fontId="3" fillId="0" borderId="37" xfId="0" applyNumberFormat="1" applyFont="1" applyFill="1" applyBorder="1" applyAlignment="1">
      <alignment horizontal="right"/>
    </xf>
    <xf numFmtId="10" fontId="3" fillId="0" borderId="28" xfId="0" applyNumberFormat="1" applyFont="1" applyFill="1" applyBorder="1" applyAlignment="1">
      <alignment horizontal="right"/>
    </xf>
    <xf numFmtId="10" fontId="3" fillId="0" borderId="27" xfId="0" applyNumberFormat="1" applyFont="1" applyFill="1" applyBorder="1" applyAlignment="1">
      <alignment horizontal="right"/>
    </xf>
    <xf numFmtId="10" fontId="3" fillId="0" borderId="29" xfId="0" applyNumberFormat="1" applyFont="1" applyFill="1" applyBorder="1" applyAlignment="1">
      <alignment horizontal="right"/>
    </xf>
    <xf numFmtId="10" fontId="3" fillId="0" borderId="31" xfId="0" applyNumberFormat="1" applyFont="1" applyFill="1" applyBorder="1" applyAlignment="1">
      <alignment horizontal="right"/>
    </xf>
    <xf numFmtId="10" fontId="2" fillId="0" borderId="45" xfId="0" applyNumberFormat="1" applyFont="1" applyFill="1" applyBorder="1" applyAlignment="1">
      <alignment horizontal="right"/>
    </xf>
    <xf numFmtId="10" fontId="3" fillId="0" borderId="46" xfId="0" applyNumberFormat="1" applyFont="1" applyFill="1" applyBorder="1" applyAlignment="1">
      <alignment horizontal="right"/>
    </xf>
    <xf numFmtId="10" fontId="3" fillId="0" borderId="45" xfId="0" applyNumberFormat="1" applyFont="1" applyFill="1" applyBorder="1" applyAlignment="1">
      <alignment horizontal="right"/>
    </xf>
    <xf numFmtId="10" fontId="3" fillId="0" borderId="47" xfId="0" applyNumberFormat="1" applyFont="1" applyFill="1" applyBorder="1" applyAlignment="1">
      <alignment horizontal="right"/>
    </xf>
    <xf numFmtId="10" fontId="3" fillId="0" borderId="49" xfId="0" applyNumberFormat="1" applyFont="1" applyFill="1" applyBorder="1" applyAlignment="1">
      <alignment horizontal="right"/>
    </xf>
    <xf numFmtId="10" fontId="2" fillId="0" borderId="0" xfId="0" applyNumberFormat="1" applyFont="1" applyFill="1" applyBorder="1" applyAlignment="1">
      <alignment horizontal="right"/>
    </xf>
    <xf numFmtId="10" fontId="3" fillId="0" borderId="8" xfId="0" applyNumberFormat="1" applyFont="1" applyFill="1" applyBorder="1" applyAlignment="1">
      <alignment horizontal="right"/>
    </xf>
    <xf numFmtId="10" fontId="3" fillId="0" borderId="9" xfId="0" applyNumberFormat="1" applyFont="1" applyFill="1" applyBorder="1" applyAlignment="1">
      <alignment horizontal="right"/>
    </xf>
    <xf numFmtId="10" fontId="3" fillId="0" borderId="0" xfId="0" applyNumberFormat="1" applyFont="1" applyFill="1" applyBorder="1" applyAlignment="1">
      <alignment horizontal="right"/>
    </xf>
    <xf numFmtId="10" fontId="3" fillId="0" borderId="36" xfId="0" applyNumberFormat="1" applyFont="1" applyFill="1" applyBorder="1" applyAlignment="1">
      <alignment horizontal="right"/>
    </xf>
    <xf numFmtId="10" fontId="13" fillId="0" borderId="8" xfId="0" applyNumberFormat="1" applyFont="1" applyFill="1" applyBorder="1" applyAlignment="1">
      <alignment horizontal="right"/>
    </xf>
    <xf numFmtId="10" fontId="13" fillId="0" borderId="9" xfId="0" applyNumberFormat="1" applyFont="1" applyFill="1" applyBorder="1" applyAlignment="1">
      <alignment horizontal="right"/>
    </xf>
    <xf numFmtId="9" fontId="3" fillId="0" borderId="21" xfId="0" applyNumberFormat="1" applyFont="1" applyFill="1" applyBorder="1" applyAlignment="1">
      <alignment horizontal="right"/>
    </xf>
    <xf numFmtId="9" fontId="3" fillId="0" borderId="20" xfId="0" applyNumberFormat="1" applyFont="1" applyFill="1" applyBorder="1" applyAlignment="1">
      <alignment horizontal="right"/>
    </xf>
    <xf numFmtId="9" fontId="3" fillId="0" borderId="22" xfId="0" applyNumberFormat="1" applyFont="1" applyFill="1" applyBorder="1" applyAlignment="1">
      <alignment horizontal="right"/>
    </xf>
    <xf numFmtId="9" fontId="3" fillId="0" borderId="37" xfId="0" applyNumberFormat="1" applyFont="1" applyFill="1" applyBorder="1" applyAlignment="1">
      <alignment horizontal="right"/>
    </xf>
    <xf numFmtId="9" fontId="3" fillId="0" borderId="8" xfId="2" applyFont="1" applyFill="1" applyBorder="1" applyAlignment="1">
      <alignment horizontal="right"/>
    </xf>
    <xf numFmtId="9" fontId="3" fillId="0" borderId="47" xfId="2" applyFont="1" applyFill="1" applyBorder="1" applyAlignment="1">
      <alignment horizontal="right"/>
    </xf>
    <xf numFmtId="9" fontId="3" fillId="0" borderId="46" xfId="2" applyFont="1" applyFill="1" applyBorder="1" applyAlignment="1">
      <alignment horizontal="right"/>
    </xf>
    <xf numFmtId="9" fontId="3" fillId="0" borderId="45" xfId="2" applyFont="1" applyFill="1" applyBorder="1" applyAlignment="1">
      <alignment horizontal="right"/>
    </xf>
    <xf numFmtId="9" fontId="3" fillId="0" borderId="36" xfId="2" applyFont="1" applyFill="1" applyBorder="1" applyAlignment="1">
      <alignment horizontal="right"/>
    </xf>
    <xf numFmtId="4" fontId="3" fillId="0" borderId="8" xfId="0" applyNumberFormat="1" applyFont="1" applyFill="1" applyBorder="1" applyAlignment="1">
      <alignment horizontal="right"/>
    </xf>
    <xf numFmtId="4" fontId="3" fillId="0" borderId="9"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36" xfId="0" applyNumberFormat="1" applyFont="1" applyFill="1" applyBorder="1" applyAlignment="1">
      <alignment horizontal="right"/>
    </xf>
    <xf numFmtId="4" fontId="13" fillId="0" borderId="8" xfId="0" applyNumberFormat="1" applyFont="1" applyFill="1" applyBorder="1" applyAlignment="1">
      <alignment horizontal="right"/>
    </xf>
    <xf numFmtId="4" fontId="13" fillId="0" borderId="9" xfId="0" applyNumberFormat="1" applyFont="1" applyFill="1" applyBorder="1" applyAlignment="1">
      <alignment horizontal="right"/>
    </xf>
    <xf numFmtId="166" fontId="3" fillId="0" borderId="21" xfId="2" applyNumberFormat="1" applyFont="1" applyFill="1" applyBorder="1" applyAlignment="1">
      <alignment horizontal="right"/>
    </xf>
    <xf numFmtId="3" fontId="3" fillId="0" borderId="49" xfId="0" applyNumberFormat="1" applyFont="1" applyFill="1" applyBorder="1" applyAlignment="1">
      <alignment horizontal="right"/>
    </xf>
    <xf numFmtId="166" fontId="3" fillId="0" borderId="8" xfId="0" applyNumberFormat="1" applyFont="1" applyFill="1" applyBorder="1" applyAlignment="1">
      <alignment horizontal="right"/>
    </xf>
    <xf numFmtId="166" fontId="3" fillId="0" borderId="9"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36" xfId="0" applyNumberFormat="1" applyFont="1" applyFill="1" applyBorder="1" applyAlignment="1">
      <alignment horizontal="right"/>
    </xf>
    <xf numFmtId="166" fontId="13" fillId="0" borderId="8" xfId="0" applyNumberFormat="1" applyFont="1" applyFill="1" applyBorder="1" applyAlignment="1">
      <alignment horizontal="right"/>
    </xf>
    <xf numFmtId="166" fontId="13" fillId="0" borderId="9" xfId="0" applyNumberFormat="1" applyFont="1" applyFill="1" applyBorder="1" applyAlignment="1">
      <alignment horizontal="right"/>
    </xf>
    <xf numFmtId="1" fontId="2" fillId="0" borderId="20" xfId="0" applyNumberFormat="1" applyFont="1" applyFill="1" applyBorder="1"/>
    <xf numFmtId="4" fontId="3" fillId="0" borderId="22" xfId="0" applyNumberFormat="1" applyFont="1" applyFill="1" applyBorder="1" applyAlignment="1">
      <alignment horizontal="right"/>
    </xf>
    <xf numFmtId="4" fontId="3" fillId="0" borderId="37" xfId="0" applyNumberFormat="1" applyFont="1" applyFill="1" applyBorder="1" applyAlignment="1">
      <alignment horizontal="right"/>
    </xf>
    <xf numFmtId="2" fontId="3" fillId="0" borderId="28" xfId="0" applyNumberFormat="1" applyFont="1" applyFill="1" applyBorder="1" applyAlignment="1">
      <alignment horizontal="right"/>
    </xf>
    <xf numFmtId="2" fontId="3" fillId="0" borderId="29" xfId="0" applyNumberFormat="1" applyFont="1" applyFill="1" applyBorder="1" applyAlignment="1">
      <alignment horizontal="right"/>
    </xf>
    <xf numFmtId="2" fontId="3" fillId="0" borderId="31" xfId="0" applyNumberFormat="1" applyFont="1" applyFill="1" applyBorder="1" applyAlignment="1">
      <alignment horizontal="right"/>
    </xf>
    <xf numFmtId="2" fontId="3" fillId="0" borderId="8" xfId="0" applyNumberFormat="1" applyFont="1" applyFill="1" applyBorder="1" applyAlignment="1">
      <alignment horizontal="right"/>
    </xf>
    <xf numFmtId="2" fontId="3" fillId="0" borderId="36" xfId="0" applyNumberFormat="1" applyFont="1" applyFill="1" applyBorder="1" applyAlignment="1">
      <alignment horizontal="right"/>
    </xf>
    <xf numFmtId="3" fontId="3" fillId="0" borderId="8" xfId="2" applyNumberFormat="1" applyFont="1" applyFill="1" applyBorder="1" applyAlignment="1">
      <alignment horizontal="right"/>
    </xf>
    <xf numFmtId="3" fontId="3" fillId="0" borderId="47" xfId="2" applyNumberFormat="1" applyFont="1" applyFill="1" applyBorder="1" applyAlignment="1">
      <alignment horizontal="right"/>
    </xf>
    <xf numFmtId="3" fontId="3" fillId="0" borderId="46" xfId="2" applyNumberFormat="1" applyFont="1" applyFill="1" applyBorder="1" applyAlignment="1">
      <alignment horizontal="right"/>
    </xf>
    <xf numFmtId="3" fontId="3" fillId="0" borderId="45" xfId="2" applyNumberFormat="1" applyFont="1" applyFill="1" applyBorder="1" applyAlignment="1">
      <alignment horizontal="right"/>
    </xf>
    <xf numFmtId="166" fontId="3" fillId="0" borderId="37" xfId="2" applyNumberFormat="1" applyFont="1" applyFill="1" applyBorder="1" applyAlignment="1">
      <alignment horizontal="right"/>
    </xf>
    <xf numFmtId="0" fontId="5" fillId="0" borderId="36" xfId="0" applyFont="1" applyFill="1" applyBorder="1" applyAlignment="1">
      <alignment horizontal="right"/>
    </xf>
    <xf numFmtId="0" fontId="14" fillId="0" borderId="9" xfId="0" applyFont="1" applyFill="1" applyBorder="1" applyAlignment="1">
      <alignment horizontal="right"/>
    </xf>
    <xf numFmtId="0" fontId="14" fillId="0" borderId="13" xfId="0" applyFont="1" applyFill="1" applyBorder="1" applyAlignment="1">
      <alignment horizontal="right"/>
    </xf>
    <xf numFmtId="166" fontId="13" fillId="0" borderId="0" xfId="0" applyNumberFormat="1" applyFont="1" applyFill="1" applyBorder="1" applyAlignment="1">
      <alignment horizontal="right"/>
    </xf>
    <xf numFmtId="3" fontId="3" fillId="0" borderId="0" xfId="0" applyNumberFormat="1" applyFont="1" applyFill="1" applyAlignment="1">
      <alignment horizontal="right"/>
    </xf>
    <xf numFmtId="0" fontId="6" fillId="0" borderId="0" xfId="0" applyFont="1" applyFill="1"/>
    <xf numFmtId="0" fontId="7" fillId="0" borderId="0" xfId="0" applyFont="1" applyFill="1"/>
    <xf numFmtId="3" fontId="5" fillId="0" borderId="47" xfId="0" applyNumberFormat="1" applyFont="1" applyFill="1" applyBorder="1" applyAlignment="1">
      <alignment horizontal="right"/>
    </xf>
    <xf numFmtId="3" fontId="5" fillId="0" borderId="46" xfId="0" applyNumberFormat="1" applyFont="1" applyFill="1" applyBorder="1" applyAlignment="1">
      <alignment horizontal="right"/>
    </xf>
    <xf numFmtId="0" fontId="5" fillId="0" borderId="44" xfId="0" applyFont="1" applyFill="1" applyBorder="1"/>
    <xf numFmtId="9" fontId="5" fillId="0" borderId="48" xfId="2" applyFont="1" applyFill="1" applyBorder="1" applyAlignment="1">
      <alignment horizontal="right"/>
    </xf>
    <xf numFmtId="0" fontId="3" fillId="0" borderId="20" xfId="0" applyFont="1" applyFill="1" applyBorder="1"/>
    <xf numFmtId="0" fontId="3" fillId="0" borderId="27" xfId="0" applyFont="1" applyFill="1" applyBorder="1"/>
    <xf numFmtId="0" fontId="5" fillId="0" borderId="45" xfId="0" applyFont="1" applyFill="1" applyBorder="1"/>
    <xf numFmtId="3" fontId="5" fillId="0" borderId="49" xfId="0" applyNumberFormat="1" applyFont="1" applyFill="1" applyBorder="1" applyAlignment="1">
      <alignment horizontal="right"/>
    </xf>
    <xf numFmtId="0" fontId="13" fillId="0" borderId="0" xfId="0" applyFont="1" applyFill="1" applyAlignment="1">
      <alignment horizontal="left"/>
    </xf>
    <xf numFmtId="0" fontId="3" fillId="0" borderId="40" xfId="0" applyFont="1" applyFill="1" applyBorder="1"/>
    <xf numFmtId="1" fontId="3" fillId="0" borderId="8" xfId="0" applyNumberFormat="1" applyFont="1" applyFill="1" applyBorder="1" applyAlignment="1">
      <alignment horizontal="right"/>
    </xf>
    <xf numFmtId="9" fontId="5" fillId="0" borderId="43" xfId="2" applyFont="1" applyFill="1" applyBorder="1" applyAlignment="1">
      <alignment horizontal="right"/>
    </xf>
    <xf numFmtId="3" fontId="3" fillId="0" borderId="25" xfId="0" applyNumberFormat="1" applyFont="1" applyFill="1" applyBorder="1" applyAlignment="1">
      <alignment horizontal="right"/>
    </xf>
    <xf numFmtId="0" fontId="5" fillId="0" borderId="19" xfId="0" applyFont="1" applyFill="1" applyBorder="1"/>
    <xf numFmtId="0" fontId="6" fillId="0" borderId="20" xfId="0" applyFont="1" applyFill="1" applyBorder="1"/>
    <xf numFmtId="164" fontId="3" fillId="0" borderId="37" xfId="0" applyNumberFormat="1" applyFont="1" applyFill="1" applyBorder="1" applyAlignment="1">
      <alignment horizontal="right"/>
    </xf>
    <xf numFmtId="164" fontId="3" fillId="0" borderId="22" xfId="0" applyNumberFormat="1" applyFont="1" applyFill="1" applyBorder="1" applyAlignment="1">
      <alignment horizontal="right"/>
    </xf>
    <xf numFmtId="9" fontId="3" fillId="0" borderId="28" xfId="2" applyNumberFormat="1" applyFont="1" applyFill="1" applyBorder="1" applyAlignment="1">
      <alignment horizontal="right"/>
    </xf>
    <xf numFmtId="9" fontId="3" fillId="0" borderId="31" xfId="2" applyNumberFormat="1" applyFont="1" applyFill="1" applyBorder="1" applyAlignment="1">
      <alignment horizontal="right"/>
    </xf>
    <xf numFmtId="0" fontId="5" fillId="0" borderId="27" xfId="0" applyFont="1" applyFill="1" applyBorder="1"/>
    <xf numFmtId="0" fontId="3" fillId="0" borderId="50" xfId="0" applyFont="1" applyFill="1" applyBorder="1"/>
    <xf numFmtId="0" fontId="3" fillId="0" borderId="52" xfId="0" applyFont="1" applyFill="1" applyBorder="1"/>
    <xf numFmtId="166" fontId="3" fillId="0" borderId="46" xfId="2" applyNumberFormat="1" applyFont="1" applyFill="1" applyBorder="1" applyAlignment="1">
      <alignment horizontal="right"/>
    </xf>
    <xf numFmtId="166" fontId="3" fillId="0" borderId="47" xfId="2" applyNumberFormat="1" applyFont="1" applyFill="1" applyBorder="1" applyAlignment="1">
      <alignment horizontal="right"/>
    </xf>
    <xf numFmtId="166" fontId="3" fillId="0" borderId="45" xfId="2" applyNumberFormat="1" applyFont="1" applyFill="1" applyBorder="1" applyAlignment="1">
      <alignment horizontal="right"/>
    </xf>
    <xf numFmtId="166" fontId="3" fillId="0" borderId="49" xfId="2" applyNumberFormat="1" applyFont="1" applyFill="1" applyBorder="1" applyAlignment="1">
      <alignment horizontal="right"/>
    </xf>
    <xf numFmtId="166" fontId="3" fillId="0" borderId="22" xfId="2" applyNumberFormat="1" applyFont="1" applyFill="1" applyBorder="1" applyAlignment="1">
      <alignment horizontal="right"/>
    </xf>
    <xf numFmtId="166" fontId="3" fillId="0" borderId="20" xfId="2" applyNumberFormat="1" applyFont="1" applyFill="1" applyBorder="1" applyAlignment="1">
      <alignment horizontal="right"/>
    </xf>
    <xf numFmtId="166" fontId="3" fillId="0" borderId="8" xfId="2" applyNumberFormat="1" applyFont="1" applyFill="1" applyBorder="1" applyAlignment="1">
      <alignment horizontal="right"/>
    </xf>
    <xf numFmtId="166" fontId="3" fillId="0" borderId="9" xfId="2" applyNumberFormat="1" applyFont="1" applyFill="1" applyBorder="1" applyAlignment="1">
      <alignment horizontal="right"/>
    </xf>
    <xf numFmtId="166" fontId="3" fillId="0" borderId="0" xfId="2" applyNumberFormat="1" applyFont="1" applyFill="1" applyBorder="1" applyAlignment="1">
      <alignment horizontal="right"/>
    </xf>
    <xf numFmtId="166" fontId="3" fillId="0" borderId="18" xfId="2" applyNumberFormat="1" applyFont="1" applyFill="1" applyBorder="1" applyAlignment="1">
      <alignment horizontal="right"/>
    </xf>
    <xf numFmtId="166" fontId="3" fillId="0" borderId="36" xfId="2" applyNumberFormat="1" applyFont="1" applyFill="1" applyBorder="1" applyAlignment="1">
      <alignment horizontal="right"/>
    </xf>
    <xf numFmtId="0" fontId="15" fillId="2" borderId="1" xfId="0" applyFont="1" applyFill="1" applyBorder="1"/>
    <xf numFmtId="0" fontId="15" fillId="2" borderId="2" xfId="0" applyFont="1" applyFill="1" applyBorder="1"/>
    <xf numFmtId="0" fontId="15" fillId="2" borderId="2" xfId="0" applyFont="1" applyFill="1" applyBorder="1" applyAlignment="1">
      <alignment horizontal="left"/>
    </xf>
    <xf numFmtId="0" fontId="16" fillId="2" borderId="2" xfId="0" applyFont="1" applyFill="1" applyBorder="1" applyAlignment="1">
      <alignment horizontal="right"/>
    </xf>
    <xf numFmtId="0" fontId="16" fillId="2" borderId="53" xfId="0" applyFont="1" applyFill="1" applyBorder="1" applyAlignment="1">
      <alignment horizontal="right"/>
    </xf>
    <xf numFmtId="0" fontId="16" fillId="2" borderId="3" xfId="0" applyFont="1" applyFill="1" applyBorder="1"/>
    <xf numFmtId="0" fontId="16" fillId="2" borderId="0" xfId="0" applyFont="1" applyFill="1" applyBorder="1"/>
    <xf numFmtId="0" fontId="16" fillId="2" borderId="0" xfId="0" applyFont="1" applyFill="1" applyBorder="1" applyAlignment="1">
      <alignment horizontal="right"/>
    </xf>
    <xf numFmtId="0" fontId="16" fillId="2" borderId="54" xfId="0" applyFont="1" applyFill="1" applyBorder="1" applyAlignment="1">
      <alignment horizontal="right"/>
    </xf>
    <xf numFmtId="0" fontId="16" fillId="2" borderId="4" xfId="0" applyFont="1" applyFill="1" applyBorder="1"/>
    <xf numFmtId="0" fontId="16" fillId="2" borderId="5" xfId="0" applyFont="1" applyFill="1" applyBorder="1" applyAlignment="1">
      <alignment horizontal="right"/>
    </xf>
    <xf numFmtId="0" fontId="15" fillId="2" borderId="5" xfId="0" applyFont="1" applyFill="1" applyBorder="1" applyAlignment="1">
      <alignment horizontal="right"/>
    </xf>
    <xf numFmtId="0" fontId="17" fillId="0" borderId="4" xfId="0" applyFont="1" applyFill="1" applyBorder="1"/>
    <xf numFmtId="0" fontId="17" fillId="0" borderId="3" xfId="0" applyFont="1" applyFill="1" applyBorder="1"/>
    <xf numFmtId="0" fontId="17" fillId="0" borderId="0" xfId="0" applyFont="1" applyFill="1"/>
    <xf numFmtId="0" fontId="18" fillId="0" borderId="0" xfId="0" applyFont="1" applyFill="1" applyAlignment="1">
      <alignment vertical="center"/>
    </xf>
    <xf numFmtId="0" fontId="15" fillId="2" borderId="55" xfId="0" applyFont="1" applyFill="1" applyBorder="1" applyAlignment="1">
      <alignment horizontal="left"/>
    </xf>
    <xf numFmtId="0" fontId="16" fillId="2" borderId="12" xfId="0" applyFont="1" applyFill="1" applyBorder="1" applyAlignment="1">
      <alignment horizontal="right"/>
    </xf>
    <xf numFmtId="17" fontId="15" fillId="2" borderId="54" xfId="0" applyNumberFormat="1" applyFont="1" applyFill="1" applyBorder="1" applyAlignment="1">
      <alignment horizontal="right"/>
    </xf>
    <xf numFmtId="0" fontId="15" fillId="2" borderId="6" xfId="0" applyFont="1" applyFill="1" applyBorder="1" applyAlignment="1">
      <alignment horizontal="right"/>
    </xf>
    <xf numFmtId="0" fontId="0" fillId="0" borderId="0" xfId="0" applyBorder="1"/>
    <xf numFmtId="10" fontId="2" fillId="0" borderId="20" xfId="0" applyNumberFormat="1" applyFont="1" applyFill="1" applyBorder="1" applyAlignment="1">
      <alignment horizontal="right"/>
    </xf>
    <xf numFmtId="9" fontId="5" fillId="0" borderId="8" xfId="2" applyFont="1" applyFill="1" applyBorder="1" applyAlignment="1">
      <alignment horizontal="right"/>
    </xf>
    <xf numFmtId="3" fontId="5" fillId="0" borderId="22" xfId="0" applyNumberFormat="1" applyFont="1" applyFill="1" applyBorder="1" applyAlignment="1">
      <alignment horizontal="right"/>
    </xf>
    <xf numFmtId="9" fontId="13" fillId="0" borderId="9" xfId="2" applyFont="1" applyFill="1" applyBorder="1" applyAlignment="1">
      <alignment horizontal="right"/>
    </xf>
    <xf numFmtId="9" fontId="3" fillId="0" borderId="29" xfId="2" applyNumberFormat="1" applyFont="1" applyFill="1" applyBorder="1" applyAlignment="1">
      <alignment horizontal="right"/>
    </xf>
    <xf numFmtId="166" fontId="3" fillId="0" borderId="29" xfId="0" applyNumberFormat="1" applyFont="1" applyFill="1" applyBorder="1" applyAlignment="1">
      <alignment horizontal="right"/>
    </xf>
    <xf numFmtId="10" fontId="3" fillId="0" borderId="22" xfId="2" applyNumberFormat="1" applyFont="1" applyFill="1" applyBorder="1" applyAlignment="1">
      <alignment horizontal="right"/>
    </xf>
    <xf numFmtId="0" fontId="15" fillId="2" borderId="54" xfId="0" applyFont="1" applyFill="1" applyBorder="1" applyAlignment="1">
      <alignment horizontal="right"/>
    </xf>
    <xf numFmtId="0" fontId="3" fillId="0" borderId="24" xfId="0" applyFont="1" applyFill="1" applyBorder="1"/>
    <xf numFmtId="0" fontId="3" fillId="0" borderId="57" xfId="0" applyFont="1" applyFill="1" applyBorder="1"/>
    <xf numFmtId="0" fontId="2" fillId="0" borderId="40" xfId="0" applyFont="1" applyFill="1" applyBorder="1"/>
    <xf numFmtId="9" fontId="10" fillId="0" borderId="58" xfId="2" applyFont="1" applyFill="1" applyBorder="1" applyAlignment="1">
      <alignment horizontal="right"/>
    </xf>
    <xf numFmtId="9" fontId="3" fillId="0" borderId="28" xfId="2" applyFont="1" applyFill="1" applyBorder="1" applyAlignment="1">
      <alignment horizontal="right"/>
    </xf>
    <xf numFmtId="3" fontId="5" fillId="0" borderId="61" xfId="0" applyNumberFormat="1" applyFont="1" applyFill="1" applyBorder="1" applyAlignment="1">
      <alignment horizontal="right"/>
    </xf>
    <xf numFmtId="9" fontId="3" fillId="0" borderId="62" xfId="2" applyFont="1" applyFill="1" applyBorder="1" applyAlignment="1">
      <alignment horizontal="right"/>
    </xf>
    <xf numFmtId="10" fontId="3" fillId="0" borderId="21" xfId="2" applyNumberFormat="1" applyFont="1" applyFill="1" applyBorder="1" applyAlignment="1">
      <alignment horizontal="right"/>
    </xf>
    <xf numFmtId="166" fontId="3" fillId="0" borderId="25" xfId="2" applyNumberFormat="1" applyFont="1" applyFill="1" applyBorder="1" applyAlignment="1">
      <alignment horizontal="right"/>
    </xf>
    <xf numFmtId="166" fontId="3" fillId="0" borderId="48" xfId="2" applyNumberFormat="1" applyFont="1" applyFill="1" applyBorder="1" applyAlignment="1">
      <alignment horizontal="right"/>
    </xf>
    <xf numFmtId="166" fontId="3" fillId="0" borderId="13" xfId="2" applyNumberFormat="1" applyFont="1" applyFill="1" applyBorder="1" applyAlignment="1">
      <alignment horizontal="right"/>
    </xf>
    <xf numFmtId="0" fontId="3" fillId="0" borderId="8" xfId="0" applyNumberFormat="1" applyFont="1" applyFill="1" applyBorder="1" applyAlignment="1">
      <alignment horizontal="right"/>
    </xf>
    <xf numFmtId="0" fontId="3" fillId="0" borderId="0" xfId="0" applyFont="1" applyAlignment="1">
      <alignment horizontal="right"/>
    </xf>
    <xf numFmtId="0" fontId="5" fillId="0" borderId="53" xfId="0" applyFont="1" applyBorder="1" applyAlignment="1">
      <alignment horizontal="right"/>
    </xf>
    <xf numFmtId="0" fontId="5" fillId="0" borderId="56" xfId="0" applyFont="1" applyBorder="1" applyAlignment="1">
      <alignment horizontal="right"/>
    </xf>
    <xf numFmtId="3" fontId="3" fillId="0" borderId="54" xfId="0" applyNumberFormat="1" applyFont="1" applyBorder="1" applyAlignment="1">
      <alignment horizontal="right"/>
    </xf>
    <xf numFmtId="3" fontId="3" fillId="0" borderId="58" xfId="0" applyNumberFormat="1" applyFont="1" applyBorder="1" applyAlignment="1">
      <alignment horizontal="right"/>
    </xf>
    <xf numFmtId="3" fontId="3" fillId="0" borderId="59" xfId="0" applyNumberFormat="1" applyFont="1" applyBorder="1" applyAlignment="1">
      <alignment horizontal="right"/>
    </xf>
    <xf numFmtId="3" fontId="5" fillId="0" borderId="59" xfId="0" applyNumberFormat="1" applyFont="1" applyBorder="1" applyAlignment="1">
      <alignment horizontal="right"/>
    </xf>
    <xf numFmtId="3" fontId="3" fillId="0" borderId="60" xfId="0" applyNumberFormat="1" applyFont="1" applyBorder="1" applyAlignment="1">
      <alignment horizontal="right"/>
    </xf>
    <xf numFmtId="9" fontId="3" fillId="0" borderId="58" xfId="0" applyNumberFormat="1" applyFont="1" applyBorder="1" applyAlignment="1">
      <alignment horizontal="right"/>
    </xf>
    <xf numFmtId="9" fontId="3" fillId="0" borderId="59" xfId="0" applyNumberFormat="1" applyFont="1" applyBorder="1" applyAlignment="1">
      <alignment horizontal="right"/>
    </xf>
    <xf numFmtId="164" fontId="3" fillId="0" borderId="54" xfId="0" applyNumberFormat="1" applyFont="1" applyBorder="1" applyAlignment="1">
      <alignment horizontal="right"/>
    </xf>
    <xf numFmtId="4" fontId="3" fillId="0" borderId="58" xfId="0" applyNumberFormat="1" applyFont="1" applyBorder="1" applyAlignment="1">
      <alignment horizontal="right"/>
    </xf>
    <xf numFmtId="3" fontId="3" fillId="0" borderId="62" xfId="0" applyNumberFormat="1" applyFont="1" applyBorder="1" applyAlignment="1">
      <alignment horizontal="right"/>
    </xf>
    <xf numFmtId="3" fontId="5" fillId="0" borderId="62" xfId="0" applyNumberFormat="1" applyFont="1" applyBorder="1" applyAlignment="1">
      <alignment horizontal="right"/>
    </xf>
    <xf numFmtId="4" fontId="3" fillId="0" borderId="59" xfId="0" applyNumberFormat="1" applyFont="1" applyBorder="1" applyAlignment="1">
      <alignment horizontal="right"/>
    </xf>
    <xf numFmtId="10" fontId="3" fillId="0" borderId="58" xfId="0" applyNumberFormat="1" applyFont="1" applyBorder="1" applyAlignment="1">
      <alignment horizontal="right"/>
    </xf>
    <xf numFmtId="10" fontId="3" fillId="0" borderId="62" xfId="0" applyNumberFormat="1" applyFont="1" applyBorder="1" applyAlignment="1">
      <alignment horizontal="right"/>
    </xf>
    <xf numFmtId="10" fontId="3" fillId="0" borderId="54" xfId="0" applyNumberFormat="1" applyFont="1" applyBorder="1" applyAlignment="1">
      <alignment horizontal="right"/>
    </xf>
    <xf numFmtId="4" fontId="3" fillId="0" borderId="54" xfId="0" applyNumberFormat="1" applyFont="1" applyBorder="1" applyAlignment="1">
      <alignment horizontal="right"/>
    </xf>
    <xf numFmtId="2" fontId="3" fillId="0" borderId="59" xfId="0" applyNumberFormat="1" applyFont="1" applyBorder="1" applyAlignment="1">
      <alignment horizontal="right"/>
    </xf>
    <xf numFmtId="3" fontId="3" fillId="0" borderId="25" xfId="0" applyNumberFormat="1" applyFont="1" applyBorder="1" applyAlignment="1">
      <alignment horizontal="right"/>
    </xf>
    <xf numFmtId="166" fontId="3" fillId="0" borderId="13" xfId="0" applyNumberFormat="1" applyFont="1" applyBorder="1" applyAlignment="1">
      <alignment horizontal="right"/>
    </xf>
    <xf numFmtId="3" fontId="3" fillId="0" borderId="0" xfId="0" applyNumberFormat="1" applyFont="1" applyAlignment="1">
      <alignment horizontal="right"/>
    </xf>
    <xf numFmtId="0" fontId="16" fillId="2" borderId="0" xfId="0" applyFont="1" applyFill="1" applyAlignment="1">
      <alignment horizontal="right"/>
    </xf>
    <xf numFmtId="0" fontId="5" fillId="0" borderId="7" xfId="0" applyFont="1" applyBorder="1" applyAlignment="1">
      <alignment horizontal="right"/>
    </xf>
    <xf numFmtId="0" fontId="5" fillId="0" borderId="14" xfId="0" applyFont="1" applyBorder="1" applyAlignment="1">
      <alignment horizontal="right"/>
    </xf>
    <xf numFmtId="3" fontId="3" fillId="0" borderId="8" xfId="0" applyNumberFormat="1" applyFont="1" applyBorder="1" applyAlignment="1">
      <alignment horizontal="right"/>
    </xf>
    <xf numFmtId="3" fontId="3" fillId="0" borderId="21" xfId="0" applyNumberFormat="1" applyFont="1" applyBorder="1" applyAlignment="1">
      <alignment horizontal="right"/>
    </xf>
    <xf numFmtId="3" fontId="3" fillId="0" borderId="28" xfId="0" applyNumberFormat="1" applyFont="1" applyBorder="1" applyAlignment="1">
      <alignment horizontal="right"/>
    </xf>
    <xf numFmtId="3" fontId="5" fillId="0" borderId="28" xfId="0" applyNumberFormat="1" applyFont="1" applyBorder="1" applyAlignment="1">
      <alignment horizontal="right"/>
    </xf>
    <xf numFmtId="3" fontId="5" fillId="0" borderId="7" xfId="0" applyNumberFormat="1" applyFont="1" applyBorder="1" applyAlignment="1">
      <alignment horizontal="right"/>
    </xf>
    <xf numFmtId="3" fontId="3" fillId="0" borderId="33" xfId="0" applyNumberFormat="1" applyFont="1" applyBorder="1" applyAlignment="1">
      <alignment horizontal="right"/>
    </xf>
    <xf numFmtId="3" fontId="5" fillId="0" borderId="8" xfId="0" applyNumberFormat="1" applyFont="1" applyBorder="1" applyAlignment="1">
      <alignment horizontal="right"/>
    </xf>
    <xf numFmtId="9" fontId="3" fillId="0" borderId="21" xfId="0" applyNumberFormat="1" applyFont="1" applyBorder="1" applyAlignment="1">
      <alignment horizontal="right"/>
    </xf>
    <xf numFmtId="4" fontId="3" fillId="0" borderId="28" xfId="0" applyNumberFormat="1" applyFont="1" applyBorder="1" applyAlignment="1">
      <alignment horizontal="right"/>
    </xf>
    <xf numFmtId="166"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28" xfId="0" applyNumberFormat="1" applyFont="1" applyBorder="1" applyAlignment="1">
      <alignment horizontal="right"/>
    </xf>
    <xf numFmtId="4" fontId="3" fillId="0" borderId="21" xfId="0" applyNumberFormat="1" applyFont="1" applyBorder="1" applyAlignment="1">
      <alignment horizontal="right"/>
    </xf>
    <xf numFmtId="3" fontId="3" fillId="0" borderId="46" xfId="0" applyNumberFormat="1" applyFont="1" applyBorder="1" applyAlignment="1">
      <alignment horizontal="right"/>
    </xf>
    <xf numFmtId="3" fontId="5" fillId="0" borderId="46" xfId="0" applyNumberFormat="1" applyFont="1" applyBorder="1" applyAlignment="1">
      <alignment horizontal="right"/>
    </xf>
    <xf numFmtId="166" fontId="3" fillId="0" borderId="28" xfId="0" applyNumberFormat="1" applyFont="1" applyBorder="1" applyAlignment="1">
      <alignment horizontal="right"/>
    </xf>
    <xf numFmtId="10" fontId="3" fillId="0" borderId="21" xfId="0" applyNumberFormat="1" applyFont="1" applyBorder="1" applyAlignment="1">
      <alignment horizontal="right"/>
    </xf>
    <xf numFmtId="10" fontId="3" fillId="0" borderId="46" xfId="0" applyNumberFormat="1" applyFont="1" applyBorder="1" applyAlignment="1">
      <alignment horizontal="right"/>
    </xf>
    <xf numFmtId="10" fontId="3" fillId="0" borderId="8" xfId="0" applyNumberFormat="1" applyFont="1" applyBorder="1" applyAlignment="1">
      <alignment horizontal="right"/>
    </xf>
    <xf numFmtId="10" fontId="3" fillId="0" borderId="28" xfId="0" applyNumberFormat="1" applyFont="1" applyBorder="1" applyAlignment="1">
      <alignment horizontal="right"/>
    </xf>
    <xf numFmtId="4" fontId="3" fillId="0" borderId="8" xfId="0" applyNumberFormat="1" applyFont="1" applyBorder="1" applyAlignment="1">
      <alignment horizontal="right"/>
    </xf>
    <xf numFmtId="2" fontId="3" fillId="0" borderId="28" xfId="0" applyNumberFormat="1" applyFont="1" applyBorder="1" applyAlignment="1">
      <alignment horizontal="right"/>
    </xf>
    <xf numFmtId="4" fontId="3" fillId="0" borderId="18" xfId="0" applyNumberFormat="1" applyFont="1" applyFill="1" applyBorder="1" applyAlignment="1">
      <alignment horizontal="right"/>
    </xf>
    <xf numFmtId="10" fontId="3" fillId="0" borderId="43" xfId="0" applyNumberFormat="1" applyFont="1" applyBorder="1" applyAlignment="1">
      <alignment horizontal="right"/>
    </xf>
    <xf numFmtId="9" fontId="3" fillId="0" borderId="59" xfId="2" applyNumberFormat="1" applyFont="1" applyFill="1" applyBorder="1" applyAlignment="1">
      <alignment horizontal="right"/>
    </xf>
    <xf numFmtId="3" fontId="3" fillId="0" borderId="9" xfId="2" applyNumberFormat="1" applyFont="1" applyFill="1" applyBorder="1" applyAlignment="1">
      <alignment horizontal="right"/>
    </xf>
    <xf numFmtId="0" fontId="19" fillId="0" borderId="3" xfId="0" applyFont="1" applyFill="1" applyBorder="1"/>
    <xf numFmtId="0" fontId="20" fillId="0" borderId="0" xfId="0" applyFont="1" applyFill="1" applyBorder="1"/>
    <xf numFmtId="3" fontId="19" fillId="0" borderId="8" xfId="0" applyNumberFormat="1" applyFont="1" applyFill="1" applyBorder="1" applyAlignment="1">
      <alignment horizontal="right"/>
    </xf>
    <xf numFmtId="3" fontId="19" fillId="0" borderId="9"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8" xfId="0" applyNumberFormat="1" applyFont="1" applyBorder="1" applyAlignment="1">
      <alignment horizontal="right"/>
    </xf>
    <xf numFmtId="3" fontId="19" fillId="0" borderId="36" xfId="0" applyNumberFormat="1" applyFont="1" applyFill="1" applyBorder="1" applyAlignment="1">
      <alignment horizontal="right"/>
    </xf>
    <xf numFmtId="3" fontId="19" fillId="0" borderId="18" xfId="0" applyNumberFormat="1" applyFont="1" applyFill="1" applyBorder="1" applyAlignment="1">
      <alignment horizontal="right"/>
    </xf>
    <xf numFmtId="164" fontId="3" fillId="0" borderId="59" xfId="0" applyNumberFormat="1" applyFont="1" applyFill="1" applyBorder="1" applyAlignment="1">
      <alignment horizontal="right"/>
    </xf>
    <xf numFmtId="3" fontId="3" fillId="0" borderId="58" xfId="0" applyNumberFormat="1" applyFont="1" applyFill="1" applyBorder="1" applyAlignment="1">
      <alignment horizontal="right"/>
    </xf>
    <xf numFmtId="3" fontId="3" fillId="0" borderId="59" xfId="0" applyNumberFormat="1" applyFont="1" applyFill="1" applyBorder="1" applyAlignment="1">
      <alignment horizontal="right"/>
    </xf>
    <xf numFmtId="3" fontId="5" fillId="0" borderId="59" xfId="0" applyNumberFormat="1" applyFont="1" applyFill="1" applyBorder="1" applyAlignment="1">
      <alignment horizontal="right"/>
    </xf>
    <xf numFmtId="3" fontId="3" fillId="0" borderId="62" xfId="0" applyNumberFormat="1" applyFont="1" applyFill="1" applyBorder="1" applyAlignment="1">
      <alignment horizontal="right"/>
    </xf>
    <xf numFmtId="164" fontId="3" fillId="0" borderId="54" xfId="0" applyNumberFormat="1" applyFont="1" applyFill="1" applyBorder="1" applyAlignment="1">
      <alignment horizontal="right"/>
    </xf>
    <xf numFmtId="3" fontId="3" fillId="0" borderId="48" xfId="0" applyNumberFormat="1" applyFont="1" applyFill="1" applyBorder="1" applyAlignment="1">
      <alignment horizontal="right"/>
    </xf>
    <xf numFmtId="2" fontId="3" fillId="0" borderId="0" xfId="0" applyNumberFormat="1" applyFont="1" applyFill="1" applyBorder="1" applyAlignment="1">
      <alignment horizontal="right"/>
    </xf>
    <xf numFmtId="10" fontId="3" fillId="0" borderId="59" xfId="0" applyNumberFormat="1" applyFont="1" applyBorder="1" applyAlignment="1">
      <alignment horizontal="right"/>
    </xf>
    <xf numFmtId="4" fontId="3" fillId="0" borderId="54" xfId="0" applyNumberFormat="1" applyFont="1" applyFill="1" applyBorder="1" applyAlignment="1">
      <alignment horizontal="right"/>
    </xf>
    <xf numFmtId="0" fontId="3" fillId="0" borderId="0" xfId="2" applyNumberFormat="1" applyFont="1" applyFill="1" applyBorder="1" applyAlignment="1">
      <alignment horizontal="right"/>
    </xf>
    <xf numFmtId="0" fontId="3" fillId="0" borderId="26" xfId="0" applyNumberFormat="1" applyFont="1" applyFill="1" applyBorder="1"/>
    <xf numFmtId="0" fontId="2" fillId="0" borderId="27" xfId="0" applyNumberFormat="1" applyFont="1" applyFill="1" applyBorder="1"/>
    <xf numFmtId="0" fontId="3" fillId="0" borderId="19" xfId="0" applyNumberFormat="1" applyFont="1" applyFill="1" applyBorder="1"/>
    <xf numFmtId="0" fontId="2" fillId="0" borderId="20" xfId="0" applyNumberFormat="1" applyFont="1" applyFill="1" applyBorder="1"/>
    <xf numFmtId="2" fontId="3" fillId="0" borderId="28" xfId="2" applyNumberFormat="1" applyFont="1" applyFill="1" applyBorder="1" applyAlignment="1">
      <alignment horizontal="right"/>
    </xf>
    <xf numFmtId="2" fontId="3" fillId="0" borderId="43" xfId="2" applyNumberFormat="1" applyFont="1" applyFill="1" applyBorder="1" applyAlignment="1">
      <alignment horizontal="right"/>
    </xf>
    <xf numFmtId="171" fontId="3" fillId="0" borderId="28" xfId="0" applyNumberFormat="1" applyFont="1" applyFill="1" applyBorder="1" applyAlignment="1">
      <alignment horizontal="right"/>
    </xf>
    <xf numFmtId="4" fontId="3" fillId="0" borderId="25" xfId="0" applyNumberFormat="1" applyFont="1" applyFill="1" applyBorder="1" applyAlignment="1">
      <alignment horizontal="right"/>
    </xf>
    <xf numFmtId="3" fontId="3" fillId="0" borderId="43" xfId="0" applyNumberFormat="1" applyFont="1" applyBorder="1" applyAlignment="1">
      <alignment horizontal="right"/>
    </xf>
    <xf numFmtId="3" fontId="3" fillId="0" borderId="48" xfId="2" applyNumberFormat="1" applyFont="1" applyFill="1" applyBorder="1" applyAlignment="1">
      <alignment horizontal="right"/>
    </xf>
    <xf numFmtId="171" fontId="3" fillId="0" borderId="43" xfId="0" applyNumberFormat="1" applyFont="1" applyFill="1" applyBorder="1" applyAlignment="1">
      <alignment horizontal="right"/>
    </xf>
    <xf numFmtId="0" fontId="22" fillId="0" borderId="0" xfId="0" applyFont="1" applyFill="1" applyAlignment="1">
      <alignment horizontal="right"/>
    </xf>
    <xf numFmtId="0" fontId="24" fillId="0" borderId="26" xfId="0" applyFont="1" applyFill="1" applyBorder="1"/>
    <xf numFmtId="0" fontId="20" fillId="0" borderId="27" xfId="0" applyFont="1" applyFill="1" applyBorder="1"/>
    <xf numFmtId="3" fontId="24" fillId="0" borderId="28" xfId="0" applyNumberFormat="1" applyFont="1" applyBorder="1" applyAlignment="1">
      <alignment horizontal="right"/>
    </xf>
    <xf numFmtId="3" fontId="24" fillId="0" borderId="43" xfId="0" applyNumberFormat="1" applyFont="1" applyBorder="1" applyAlignment="1">
      <alignment horizontal="right"/>
    </xf>
    <xf numFmtId="3" fontId="3" fillId="0" borderId="13" xfId="0" applyNumberFormat="1" applyFont="1" applyBorder="1" applyAlignment="1">
      <alignment horizontal="right"/>
    </xf>
    <xf numFmtId="3" fontId="5" fillId="0" borderId="51" xfId="0" applyNumberFormat="1" applyFont="1" applyFill="1" applyBorder="1" applyAlignment="1">
      <alignment horizontal="right"/>
    </xf>
    <xf numFmtId="3" fontId="5" fillId="0" borderId="13" xfId="0" applyNumberFormat="1" applyFont="1" applyBorder="1" applyAlignment="1">
      <alignment horizontal="right"/>
    </xf>
    <xf numFmtId="170" fontId="5" fillId="0" borderId="0" xfId="0" applyNumberFormat="1" applyFont="1" applyFill="1" applyBorder="1" applyAlignment="1">
      <alignment horizontal="right"/>
    </xf>
    <xf numFmtId="3" fontId="5" fillId="0" borderId="51" xfId="0" applyNumberFormat="1" applyFont="1" applyBorder="1" applyAlignment="1">
      <alignment horizontal="right"/>
    </xf>
    <xf numFmtId="169" fontId="5" fillId="0" borderId="0" xfId="0" applyNumberFormat="1" applyFont="1" applyFill="1" applyBorder="1" applyAlignment="1">
      <alignment horizontal="right"/>
    </xf>
    <xf numFmtId="9" fontId="19" fillId="0" borderId="3" xfId="2" applyFont="1" applyFill="1" applyBorder="1"/>
    <xf numFmtId="9" fontId="20" fillId="0" borderId="0" xfId="2" applyFont="1" applyFill="1" applyBorder="1"/>
    <xf numFmtId="9" fontId="19" fillId="0" borderId="8" xfId="2" applyFont="1" applyFill="1" applyBorder="1" applyAlignment="1">
      <alignment horizontal="right"/>
    </xf>
    <xf numFmtId="9" fontId="19" fillId="0" borderId="9" xfId="2" applyFont="1" applyFill="1" applyBorder="1" applyAlignment="1">
      <alignment horizontal="right"/>
    </xf>
    <xf numFmtId="9" fontId="19" fillId="0" borderId="0" xfId="2" applyFont="1" applyFill="1" applyBorder="1" applyAlignment="1">
      <alignment horizontal="right"/>
    </xf>
    <xf numFmtId="9" fontId="19" fillId="0" borderId="8" xfId="2" applyFont="1" applyBorder="1" applyAlignment="1">
      <alignment horizontal="right"/>
    </xf>
    <xf numFmtId="9" fontId="19" fillId="0" borderId="13" xfId="2" applyFont="1" applyBorder="1" applyAlignment="1">
      <alignment horizontal="right"/>
    </xf>
    <xf numFmtId="164" fontId="3" fillId="0" borderId="43" xfId="0" applyNumberFormat="1" applyFont="1" applyFill="1" applyBorder="1" applyAlignment="1">
      <alignment horizontal="right"/>
    </xf>
    <xf numFmtId="0" fontId="19" fillId="0" borderId="26" xfId="0" applyFont="1" applyFill="1" applyBorder="1"/>
    <xf numFmtId="3" fontId="19" fillId="0" borderId="28" xfId="0" applyNumberFormat="1" applyFont="1" applyFill="1" applyBorder="1" applyAlignment="1">
      <alignment horizontal="right"/>
    </xf>
    <xf numFmtId="3" fontId="19" fillId="0" borderId="29" xfId="0" applyNumberFormat="1" applyFont="1" applyFill="1" applyBorder="1" applyAlignment="1">
      <alignment horizontal="right"/>
    </xf>
    <xf numFmtId="3" fontId="19" fillId="0" borderId="27" xfId="0" applyNumberFormat="1" applyFont="1" applyFill="1" applyBorder="1" applyAlignment="1">
      <alignment horizontal="right"/>
    </xf>
    <xf numFmtId="3" fontId="19" fillId="0" borderId="43" xfId="0" applyNumberFormat="1" applyFont="1" applyFill="1" applyBorder="1" applyAlignment="1">
      <alignment horizontal="right"/>
    </xf>
    <xf numFmtId="3" fontId="5" fillId="0" borderId="43" xfId="0" applyNumberFormat="1" applyFont="1" applyBorder="1" applyAlignment="1">
      <alignment horizontal="right"/>
    </xf>
    <xf numFmtId="0" fontId="23" fillId="0" borderId="3" xfId="0" applyFont="1" applyFill="1" applyBorder="1"/>
    <xf numFmtId="0" fontId="23" fillId="0" borderId="0" xfId="0" applyFont="1" applyFill="1" applyBorder="1"/>
    <xf numFmtId="3" fontId="23" fillId="0" borderId="8" xfId="0" applyNumberFormat="1" applyFont="1" applyFill="1" applyBorder="1" applyAlignment="1">
      <alignment horizontal="right"/>
    </xf>
    <xf numFmtId="3" fontId="23" fillId="0" borderId="0" xfId="0" applyNumberFormat="1" applyFont="1" applyFill="1" applyBorder="1" applyAlignment="1">
      <alignment horizontal="right"/>
    </xf>
    <xf numFmtId="3" fontId="23" fillId="0" borderId="9" xfId="0" applyNumberFormat="1" applyFont="1" applyFill="1" applyBorder="1" applyAlignment="1">
      <alignment horizontal="right"/>
    </xf>
    <xf numFmtId="9" fontId="22" fillId="0" borderId="0" xfId="2" applyFont="1" applyFill="1" applyBorder="1" applyAlignment="1">
      <alignment horizontal="right"/>
    </xf>
    <xf numFmtId="168" fontId="23" fillId="0" borderId="8" xfId="0" applyNumberFormat="1" applyFont="1" applyFill="1" applyBorder="1" applyAlignment="1">
      <alignment horizontal="right"/>
    </xf>
    <xf numFmtId="165" fontId="3" fillId="0" borderId="0" xfId="0" applyNumberFormat="1" applyFont="1" applyFill="1" applyBorder="1" applyAlignment="1">
      <alignment horizontal="right"/>
    </xf>
    <xf numFmtId="3" fontId="3" fillId="0" borderId="48" xfId="0" applyNumberFormat="1" applyFont="1" applyBorder="1" applyAlignment="1">
      <alignment horizontal="right"/>
    </xf>
    <xf numFmtId="3" fontId="5" fillId="0" borderId="43" xfId="0" applyNumberFormat="1" applyFont="1" applyFill="1" applyBorder="1" applyAlignment="1">
      <alignment horizontal="right"/>
    </xf>
    <xf numFmtId="3" fontId="3" fillId="0" borderId="34" xfId="0" applyNumberFormat="1" applyFont="1" applyBorder="1" applyAlignment="1">
      <alignment horizontal="right"/>
    </xf>
    <xf numFmtId="4" fontId="3" fillId="0" borderId="47" xfId="0" applyNumberFormat="1" applyFont="1" applyFill="1" applyBorder="1" applyAlignment="1">
      <alignment horizontal="right"/>
    </xf>
    <xf numFmtId="167" fontId="3" fillId="0" borderId="21" xfId="2" applyNumberFormat="1" applyFont="1" applyFill="1" applyBorder="1" applyAlignment="1">
      <alignment horizontal="right"/>
    </xf>
    <xf numFmtId="167" fontId="3" fillId="0" borderId="22" xfId="2" applyNumberFormat="1" applyFont="1" applyFill="1" applyBorder="1" applyAlignment="1">
      <alignment horizontal="right"/>
    </xf>
    <xf numFmtId="167" fontId="3" fillId="0" borderId="25" xfId="2" applyNumberFormat="1" applyFont="1" applyFill="1" applyBorder="1" applyAlignment="1">
      <alignment horizontal="right"/>
    </xf>
    <xf numFmtId="3" fontId="3" fillId="0" borderId="30" xfId="0" applyNumberFormat="1" applyFont="1" applyBorder="1" applyAlignment="1">
      <alignment horizontal="right"/>
    </xf>
    <xf numFmtId="3" fontId="3" fillId="0" borderId="61" xfId="0" applyNumberFormat="1" applyFont="1" applyBorder="1" applyAlignment="1">
      <alignment horizontal="right"/>
    </xf>
    <xf numFmtId="167" fontId="3" fillId="0" borderId="23" xfId="2" applyNumberFormat="1" applyFont="1" applyFill="1" applyBorder="1" applyAlignment="1">
      <alignment horizontal="right"/>
    </xf>
    <xf numFmtId="164" fontId="3" fillId="0" borderId="30" xfId="0" applyNumberFormat="1" applyFont="1" applyBorder="1" applyAlignment="1">
      <alignment horizontal="right"/>
    </xf>
    <xf numFmtId="166" fontId="3" fillId="0" borderId="33" xfId="2" applyNumberFormat="1" applyFont="1" applyFill="1" applyBorder="1" applyAlignment="1">
      <alignment horizontal="right"/>
    </xf>
    <xf numFmtId="4" fontId="3" fillId="0" borderId="39" xfId="0" applyNumberFormat="1" applyFont="1" applyFill="1" applyBorder="1" applyAlignment="1">
      <alignment horizontal="right"/>
    </xf>
    <xf numFmtId="4" fontId="3" fillId="0" borderId="33" xfId="0" applyNumberFormat="1" applyFont="1" applyFill="1" applyBorder="1" applyAlignment="1">
      <alignment horizontal="right"/>
    </xf>
    <xf numFmtId="3" fontId="13" fillId="0" borderId="0" xfId="0" applyNumberFormat="1" applyFont="1" applyFill="1" applyAlignment="1">
      <alignment horizontal="right"/>
    </xf>
    <xf numFmtId="0" fontId="17" fillId="0" borderId="3" xfId="0" applyFont="1" applyBorder="1"/>
    <xf numFmtId="0" fontId="2" fillId="0" borderId="0" xfId="0" applyFont="1"/>
    <xf numFmtId="0" fontId="5" fillId="0" borderId="26" xfId="0" applyFont="1" applyBorder="1"/>
    <xf numFmtId="0" fontId="24" fillId="0" borderId="26" xfId="0" applyFont="1" applyBorder="1"/>
    <xf numFmtId="0" fontId="20" fillId="0" borderId="27" xfId="0" applyFont="1" applyBorder="1"/>
    <xf numFmtId="3" fontId="24" fillId="0" borderId="21" xfId="0" applyNumberFormat="1" applyFont="1" applyBorder="1" applyAlignment="1">
      <alignment horizontal="right"/>
    </xf>
    <xf numFmtId="3" fontId="24" fillId="0" borderId="22" xfId="0" applyNumberFormat="1" applyFont="1" applyBorder="1" applyAlignment="1">
      <alignment horizontal="right"/>
    </xf>
    <xf numFmtId="0" fontId="5" fillId="0" borderId="1" xfId="0" applyFont="1" applyBorder="1"/>
    <xf numFmtId="166" fontId="3" fillId="0" borderId="19" xfId="2" applyNumberFormat="1" applyFont="1" applyFill="1" applyBorder="1"/>
    <xf numFmtId="4" fontId="3" fillId="0" borderId="58" xfId="0" applyNumberFormat="1" applyFont="1" applyFill="1" applyBorder="1" applyAlignment="1">
      <alignment horizontal="right"/>
    </xf>
    <xf numFmtId="0" fontId="2" fillId="3" borderId="27" xfId="0" applyFont="1" applyFill="1" applyBorder="1"/>
    <xf numFmtId="0" fontId="6" fillId="3" borderId="27" xfId="0" applyFont="1" applyFill="1" applyBorder="1"/>
    <xf numFmtId="1" fontId="2" fillId="3" borderId="20" xfId="0" applyNumberFormat="1" applyFont="1" applyFill="1" applyBorder="1"/>
    <xf numFmtId="3" fontId="19" fillId="0" borderId="31" xfId="0" applyNumberFormat="1" applyFont="1" applyFill="1" applyBorder="1" applyAlignment="1">
      <alignment horizontal="right"/>
    </xf>
    <xf numFmtId="3" fontId="19" fillId="0" borderId="21" xfId="0" applyNumberFormat="1" applyFont="1" applyFill="1" applyBorder="1" applyAlignment="1">
      <alignment horizontal="right"/>
    </xf>
    <xf numFmtId="9" fontId="19" fillId="0" borderId="25" xfId="2" applyFont="1" applyFill="1" applyBorder="1" applyAlignment="1">
      <alignment horizontal="right"/>
    </xf>
    <xf numFmtId="0" fontId="5" fillId="0" borderId="19" xfId="0" applyFont="1" applyBorder="1"/>
    <xf numFmtId="0" fontId="19" fillId="0" borderId="44" xfId="0" applyFont="1" applyFill="1" applyBorder="1"/>
    <xf numFmtId="9" fontId="19" fillId="0" borderId="49" xfId="0" applyNumberFormat="1" applyFont="1" applyFill="1" applyBorder="1" applyAlignment="1">
      <alignment horizontal="right"/>
    </xf>
    <xf numFmtId="9" fontId="19" fillId="0" borderId="46" xfId="0" applyNumberFormat="1" applyFont="1" applyFill="1" applyBorder="1" applyAlignment="1">
      <alignment horizontal="right"/>
    </xf>
    <xf numFmtId="9" fontId="19" fillId="0" borderId="48" xfId="2" applyFont="1" applyFill="1" applyBorder="1" applyAlignment="1">
      <alignment horizontal="right"/>
    </xf>
    <xf numFmtId="0" fontId="3" fillId="0" borderId="19" xfId="0" applyFont="1" applyBorder="1"/>
    <xf numFmtId="0" fontId="3" fillId="0" borderId="26" xfId="0" applyFont="1" applyBorder="1"/>
    <xf numFmtId="0" fontId="3" fillId="0" borderId="44" xfId="0" applyFont="1" applyBorder="1"/>
    <xf numFmtId="0" fontId="5" fillId="0" borderId="44" xfId="0" applyFont="1" applyBorder="1"/>
    <xf numFmtId="166" fontId="3" fillId="0" borderId="0" xfId="2" applyNumberFormat="1" applyFont="1" applyFill="1" applyBorder="1"/>
    <xf numFmtId="10" fontId="3" fillId="0" borderId="0" xfId="2" applyNumberFormat="1" applyFont="1" applyFill="1" applyBorder="1" applyAlignment="1">
      <alignment horizontal="right"/>
    </xf>
    <xf numFmtId="0" fontId="3" fillId="0" borderId="0" xfId="0" applyFont="1" applyBorder="1"/>
    <xf numFmtId="10" fontId="3" fillId="0" borderId="20" xfId="2" applyNumberFormat="1" applyFont="1" applyFill="1" applyBorder="1" applyAlignment="1">
      <alignment horizontal="right"/>
    </xf>
    <xf numFmtId="10" fontId="3" fillId="0" borderId="37" xfId="2" applyNumberFormat="1" applyFont="1" applyFill="1" applyBorder="1" applyAlignment="1">
      <alignment horizontal="right"/>
    </xf>
    <xf numFmtId="0" fontId="5" fillId="0" borderId="0" xfId="0" applyFont="1" applyFill="1" applyBorder="1"/>
    <xf numFmtId="0" fontId="19" fillId="0" borderId="0" xfId="0" applyFont="1" applyFill="1" applyBorder="1"/>
    <xf numFmtId="3" fontId="3" fillId="0" borderId="51" xfId="0" applyNumberFormat="1" applyFont="1" applyFill="1" applyBorder="1" applyAlignment="1">
      <alignment horizontal="right"/>
    </xf>
    <xf numFmtId="3" fontId="24" fillId="0" borderId="25" xfId="0" applyNumberFormat="1" applyFont="1" applyBorder="1" applyAlignment="1">
      <alignment horizontal="right"/>
    </xf>
    <xf numFmtId="0" fontId="3" fillId="0" borderId="54" xfId="0" applyFont="1" applyFill="1" applyBorder="1" applyAlignment="1">
      <alignment horizontal="right"/>
    </xf>
    <xf numFmtId="49" fontId="5" fillId="0" borderId="51" xfId="0" applyNumberFormat="1" applyFont="1" applyFill="1" applyBorder="1" applyAlignment="1">
      <alignment horizontal="right"/>
    </xf>
    <xf numFmtId="9" fontId="3" fillId="0" borderId="49" xfId="2" applyNumberFormat="1" applyFont="1" applyFill="1" applyBorder="1" applyAlignment="1">
      <alignment horizontal="right"/>
    </xf>
    <xf numFmtId="9" fontId="3" fillId="0" borderId="46" xfId="2" applyNumberFormat="1" applyFont="1" applyFill="1" applyBorder="1" applyAlignment="1">
      <alignment horizontal="right"/>
    </xf>
    <xf numFmtId="9" fontId="3" fillId="0" borderId="36" xfId="2" applyNumberFormat="1" applyFont="1" applyFill="1" applyBorder="1" applyAlignment="1">
      <alignment horizontal="right"/>
    </xf>
    <xf numFmtId="9" fontId="3" fillId="0" borderId="8" xfId="2" applyNumberFormat="1" applyFont="1" applyFill="1" applyBorder="1" applyAlignment="1">
      <alignment horizontal="right"/>
    </xf>
    <xf numFmtId="9" fontId="3" fillId="0" borderId="18" xfId="2" applyNumberFormat="1" applyFont="1" applyFill="1" applyBorder="1" applyAlignment="1">
      <alignment horizontal="right"/>
    </xf>
    <xf numFmtId="9" fontId="3" fillId="0" borderId="8" xfId="2" applyFont="1" applyBorder="1" applyAlignment="1">
      <alignment horizontal="right"/>
    </xf>
    <xf numFmtId="166" fontId="3" fillId="0" borderId="3" xfId="2" applyNumberFormat="1" applyFont="1" applyFill="1" applyBorder="1"/>
    <xf numFmtId="0" fontId="3" fillId="0" borderId="20" xfId="0" applyFont="1" applyBorder="1"/>
    <xf numFmtId="166" fontId="2" fillId="0" borderId="0" xfId="2" applyNumberFormat="1" applyFont="1" applyFill="1" applyBorder="1"/>
    <xf numFmtId="166" fontId="0" fillId="0" borderId="0" xfId="2" applyNumberFormat="1" applyFont="1" applyFill="1" applyBorder="1"/>
    <xf numFmtId="166" fontId="0" fillId="0" borderId="0" xfId="2" applyNumberFormat="1" applyFont="1" applyBorder="1"/>
    <xf numFmtId="0" fontId="3" fillId="0" borderId="38" xfId="0" applyFont="1" applyBorder="1"/>
    <xf numFmtId="10" fontId="3" fillId="0" borderId="42" xfId="2" applyNumberFormat="1" applyFont="1" applyFill="1" applyBorder="1" applyAlignment="1">
      <alignment horizontal="right"/>
    </xf>
    <xf numFmtId="10" fontId="3" fillId="0" borderId="33" xfId="2" applyNumberFormat="1" applyFont="1" applyFill="1" applyBorder="1" applyAlignment="1">
      <alignment horizontal="right"/>
    </xf>
    <xf numFmtId="9" fontId="17" fillId="0" borderId="25" xfId="2" applyFont="1" applyFill="1" applyBorder="1" applyAlignment="1">
      <alignment horizontal="right"/>
    </xf>
    <xf numFmtId="9" fontId="5" fillId="0" borderId="51" xfId="2" applyFont="1" applyBorder="1" applyAlignment="1">
      <alignment horizontal="right"/>
    </xf>
    <xf numFmtId="0" fontId="17" fillId="0" borderId="0" xfId="0" applyFont="1" applyFill="1" applyBorder="1"/>
    <xf numFmtId="10" fontId="3" fillId="0" borderId="46" xfId="2" applyNumberFormat="1" applyFont="1" applyFill="1" applyBorder="1" applyAlignment="1">
      <alignment horizontal="right"/>
    </xf>
    <xf numFmtId="49" fontId="28" fillId="2" borderId="56" xfId="0" applyNumberFormat="1" applyFont="1" applyFill="1" applyBorder="1" applyAlignment="1">
      <alignment horizontal="right"/>
    </xf>
    <xf numFmtId="9" fontId="10" fillId="0" borderId="48" xfId="2" applyFont="1" applyFill="1" applyBorder="1" applyAlignment="1">
      <alignment horizontal="right"/>
    </xf>
    <xf numFmtId="9" fontId="10" fillId="0" borderId="25" xfId="2" applyFont="1" applyFill="1" applyBorder="1" applyAlignment="1">
      <alignment horizontal="right"/>
    </xf>
    <xf numFmtId="9" fontId="10" fillId="0" borderId="34" xfId="2" applyFont="1" applyFill="1" applyBorder="1" applyAlignment="1">
      <alignment horizontal="right"/>
    </xf>
    <xf numFmtId="0" fontId="0" fillId="0" borderId="0" xfId="0" applyFill="1" applyBorder="1"/>
    <xf numFmtId="0" fontId="25" fillId="0" borderId="0" xfId="0" applyFont="1" applyFill="1" applyBorder="1"/>
    <xf numFmtId="0" fontId="25" fillId="0" borderId="0" xfId="0" applyFont="1" applyBorder="1"/>
    <xf numFmtId="0" fontId="21" fillId="0" borderId="0" xfId="0" applyFont="1" applyFill="1" applyBorder="1"/>
    <xf numFmtId="0" fontId="21" fillId="0" borderId="0" xfId="0" applyFont="1" applyBorder="1"/>
    <xf numFmtId="3" fontId="5" fillId="0" borderId="0" xfId="0" applyNumberFormat="1" applyFont="1" applyFill="1" applyBorder="1"/>
    <xf numFmtId="0" fontId="26" fillId="0" borderId="0" xfId="0" applyFont="1" applyBorder="1"/>
    <xf numFmtId="3" fontId="23" fillId="0" borderId="0" xfId="0" applyNumberFormat="1" applyFont="1" applyFill="1" applyBorder="1"/>
    <xf numFmtId="0" fontId="1" fillId="0" borderId="0" xfId="0" applyFont="1" applyFill="1" applyBorder="1"/>
    <xf numFmtId="9" fontId="21" fillId="0" borderId="0" xfId="2" applyFont="1" applyFill="1" applyBorder="1"/>
    <xf numFmtId="9" fontId="19" fillId="0" borderId="0" xfId="2" applyFont="1" applyFill="1" applyBorder="1"/>
    <xf numFmtId="4" fontId="0" fillId="0" borderId="0" xfId="0" applyNumberFormat="1" applyFill="1" applyBorder="1"/>
    <xf numFmtId="4" fontId="27" fillId="0" borderId="0" xfId="0" quotePrefix="1" applyNumberFormat="1" applyFont="1" applyFill="1" applyBorder="1"/>
    <xf numFmtId="0" fontId="26" fillId="0" borderId="0" xfId="0" applyFont="1" applyFill="1" applyBorder="1"/>
    <xf numFmtId="4" fontId="26" fillId="0" borderId="0" xfId="0" applyNumberFormat="1" applyFont="1" applyFill="1" applyBorder="1"/>
    <xf numFmtId="0" fontId="27" fillId="0" borderId="0" xfId="0" applyFont="1" applyFill="1" applyBorder="1"/>
    <xf numFmtId="3" fontId="3" fillId="0" borderId="0" xfId="0" applyNumberFormat="1" applyFont="1" applyFill="1" applyBorder="1"/>
    <xf numFmtId="9" fontId="0" fillId="0" borderId="0" xfId="2" applyFont="1" applyFill="1" applyBorder="1"/>
    <xf numFmtId="10" fontId="1" fillId="0" borderId="0" xfId="2" applyNumberFormat="1" applyFont="1" applyFill="1" applyBorder="1"/>
    <xf numFmtId="10" fontId="0" fillId="0" borderId="0" xfId="2" applyNumberFormat="1" applyFont="1" applyFill="1" applyBorder="1"/>
    <xf numFmtId="10" fontId="5" fillId="0" borderId="0" xfId="2" applyNumberFormat="1" applyFont="1" applyFill="1" applyBorder="1"/>
    <xf numFmtId="0" fontId="0" fillId="0" borderId="0" xfId="0" applyNumberFormat="1" applyFill="1" applyBorder="1"/>
    <xf numFmtId="0" fontId="3" fillId="0" borderId="0" xfId="0" applyNumberFormat="1" applyFont="1" applyFill="1" applyBorder="1"/>
    <xf numFmtId="9" fontId="3" fillId="0" borderId="13" xfId="2" applyFont="1" applyBorder="1" applyAlignment="1">
      <alignment horizontal="right"/>
    </xf>
    <xf numFmtId="166" fontId="3" fillId="0" borderId="46" xfId="2" applyNumberFormat="1" applyFont="1" applyBorder="1" applyAlignment="1">
      <alignment horizontal="right"/>
    </xf>
    <xf numFmtId="165" fontId="16" fillId="2" borderId="2" xfId="0" applyNumberFormat="1" applyFont="1" applyFill="1" applyBorder="1" applyAlignment="1">
      <alignment horizontal="right"/>
    </xf>
    <xf numFmtId="2" fontId="3" fillId="0" borderId="0" xfId="0" applyNumberFormat="1" applyFont="1" applyFill="1" applyAlignment="1">
      <alignment horizontal="right"/>
    </xf>
    <xf numFmtId="9" fontId="5" fillId="0" borderId="13" xfId="2" applyFont="1" applyBorder="1" applyAlignment="1">
      <alignment horizontal="right"/>
    </xf>
    <xf numFmtId="0" fontId="3" fillId="0" borderId="5" xfId="0" applyFont="1" applyFill="1" applyBorder="1"/>
    <xf numFmtId="0" fontId="22" fillId="0" borderId="0" xfId="0" applyFont="1" applyFill="1" applyBorder="1" applyAlignment="1">
      <alignment horizontal="right"/>
    </xf>
    <xf numFmtId="164" fontId="5" fillId="0" borderId="28" xfId="0" applyNumberFormat="1" applyFont="1" applyFill="1" applyBorder="1" applyAlignment="1">
      <alignment horizontal="right"/>
    </xf>
    <xf numFmtId="164" fontId="24" fillId="0" borderId="28" xfId="0" applyNumberFormat="1" applyFont="1" applyBorder="1" applyAlignment="1">
      <alignment horizontal="right"/>
    </xf>
    <xf numFmtId="168" fontId="19" fillId="0" borderId="0" xfId="0" applyNumberFormat="1" applyFont="1" applyFill="1" applyBorder="1"/>
    <xf numFmtId="0" fontId="7" fillId="0" borderId="0" xfId="0" applyFont="1" applyFill="1" applyAlignment="1">
      <alignment wrapText="1"/>
    </xf>
    <xf numFmtId="0" fontId="3" fillId="0" borderId="49" xfId="2" applyNumberFormat="1" applyFont="1" applyFill="1" applyBorder="1" applyAlignment="1">
      <alignment horizontal="right"/>
    </xf>
    <xf numFmtId="0" fontId="3" fillId="0" borderId="46" xfId="2" applyNumberFormat="1" applyFont="1" applyFill="1" applyBorder="1" applyAlignment="1">
      <alignment horizontal="right"/>
    </xf>
    <xf numFmtId="10" fontId="3" fillId="0" borderId="21" xfId="2" quotePrefix="1" applyNumberFormat="1" applyFont="1" applyFill="1" applyBorder="1" applyAlignment="1">
      <alignment horizontal="right"/>
    </xf>
    <xf numFmtId="0" fontId="30" fillId="0" borderId="46" xfId="2" applyNumberFormat="1" applyFont="1" applyFill="1" applyBorder="1" applyAlignment="1">
      <alignment horizontal="right"/>
    </xf>
    <xf numFmtId="10" fontId="30" fillId="0" borderId="33" xfId="2" applyNumberFormat="1" applyFont="1" applyFill="1" applyBorder="1" applyAlignment="1">
      <alignment horizontal="right"/>
    </xf>
    <xf numFmtId="0" fontId="30" fillId="0" borderId="44" xfId="2" applyNumberFormat="1" applyFont="1" applyFill="1" applyBorder="1" applyAlignment="1">
      <alignment horizontal="right"/>
    </xf>
    <xf numFmtId="10" fontId="30" fillId="0" borderId="38" xfId="2" applyNumberFormat="1" applyFont="1" applyFill="1" applyBorder="1" applyAlignment="1">
      <alignment horizontal="right"/>
    </xf>
    <xf numFmtId="0" fontId="30" fillId="0" borderId="25" xfId="0" applyNumberFormat="1" applyFont="1" applyBorder="1" applyAlignment="1">
      <alignment horizontal="right"/>
    </xf>
    <xf numFmtId="3" fontId="19" fillId="0" borderId="13" xfId="0" applyNumberFormat="1" applyFont="1" applyFill="1" applyBorder="1" applyAlignment="1">
      <alignment horizontal="right"/>
    </xf>
    <xf numFmtId="166" fontId="3" fillId="0" borderId="59" xfId="2" applyNumberFormat="1" applyFont="1" applyFill="1" applyBorder="1" applyAlignment="1">
      <alignment horizontal="right"/>
    </xf>
    <xf numFmtId="166" fontId="3" fillId="0" borderId="62" xfId="2" applyNumberFormat="1" applyFont="1" applyFill="1" applyBorder="1" applyAlignment="1">
      <alignment horizontal="right"/>
    </xf>
    <xf numFmtId="169" fontId="19" fillId="0" borderId="13" xfId="0" applyNumberFormat="1" applyFont="1" applyBorder="1" applyAlignment="1">
      <alignment horizontal="right"/>
    </xf>
    <xf numFmtId="3" fontId="23" fillId="0" borderId="13" xfId="0" applyNumberFormat="1" applyFont="1" applyFill="1" applyBorder="1" applyAlignment="1">
      <alignment horizontal="right"/>
    </xf>
    <xf numFmtId="9" fontId="0" fillId="0" borderId="0" xfId="2" applyFont="1" applyBorder="1"/>
    <xf numFmtId="9" fontId="0" fillId="0" borderId="0" xfId="2" applyNumberFormat="1" applyFont="1" applyFill="1" applyBorder="1"/>
    <xf numFmtId="172" fontId="0" fillId="0" borderId="0" xfId="0" applyNumberFormat="1" applyBorder="1"/>
    <xf numFmtId="169" fontId="3" fillId="0" borderId="21" xfId="0" applyNumberFormat="1" applyFont="1" applyFill="1" applyBorder="1" applyAlignment="1">
      <alignment horizontal="right"/>
    </xf>
    <xf numFmtId="9" fontId="19" fillId="0" borderId="8" xfId="2" applyNumberFormat="1" applyFont="1" applyBorder="1" applyAlignment="1">
      <alignment horizontal="right"/>
    </xf>
    <xf numFmtId="9" fontId="19" fillId="0" borderId="13" xfId="2" applyNumberFormat="1" applyFont="1" applyBorder="1" applyAlignment="1">
      <alignment horizontal="right"/>
    </xf>
    <xf numFmtId="9" fontId="3" fillId="0" borderId="9" xfId="2" applyFont="1" applyFill="1" applyBorder="1" applyAlignment="1">
      <alignment horizontal="right"/>
    </xf>
    <xf numFmtId="166" fontId="0" fillId="0" borderId="0" xfId="0" applyNumberFormat="1" applyFill="1" applyBorder="1"/>
    <xf numFmtId="168" fontId="3" fillId="0" borderId="54" xfId="0" applyNumberFormat="1" applyFont="1" applyBorder="1" applyAlignment="1">
      <alignment horizontal="right"/>
    </xf>
    <xf numFmtId="9" fontId="5" fillId="0" borderId="0" xfId="2" applyFont="1" applyFill="1" applyBorder="1"/>
    <xf numFmtId="9" fontId="3" fillId="0" borderId="0" xfId="2" applyFont="1" applyFill="1" applyBorder="1"/>
    <xf numFmtId="0" fontId="0" fillId="0" borderId="0" xfId="2" applyNumberFormat="1" applyFont="1" applyBorder="1"/>
    <xf numFmtId="9" fontId="25" fillId="0" borderId="0" xfId="2" applyFont="1" applyBorder="1"/>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AvanzaOfficeTheme">
  <a:themeElements>
    <a:clrScheme name="Custom 3">
      <a:dk1>
        <a:srgbClr val="323232"/>
      </a:dk1>
      <a:lt1>
        <a:srgbClr val="F0F0F0"/>
      </a:lt1>
      <a:dk2>
        <a:srgbClr val="545454"/>
      </a:dk2>
      <a:lt2>
        <a:srgbClr val="F0F0F0"/>
      </a:lt2>
      <a:accent1>
        <a:srgbClr val="00C281"/>
      </a:accent1>
      <a:accent2>
        <a:srgbClr val="FD6B60"/>
      </a:accent2>
      <a:accent3>
        <a:srgbClr val="00AECE"/>
      </a:accent3>
      <a:accent4>
        <a:srgbClr val="FDD92C"/>
      </a:accent4>
      <a:accent5>
        <a:srgbClr val="01D38D"/>
      </a:accent5>
      <a:accent6>
        <a:srgbClr val="CD19C1"/>
      </a:accent6>
      <a:hlink>
        <a:srgbClr val="C07FD2"/>
      </a:hlink>
      <a:folHlink>
        <a:srgbClr val="387ED6"/>
      </a:folHlink>
    </a:clrScheme>
    <a:fontScheme name="Roboto Avanza">
      <a:majorFont>
        <a:latin typeface="Roboto Avanza Slab"/>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boto"/>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X171"/>
  <sheetViews>
    <sheetView showGridLines="0" tabSelected="1" zoomScale="90" zoomScaleNormal="90" workbookViewId="0">
      <pane xSplit="2" ySplit="6" topLeftCell="BP7" activePane="bottomRight" state="frozen"/>
      <selection pane="topRight" activeCell="C1" sqref="C1"/>
      <selection pane="bottomLeft" activeCell="A7" sqref="A7"/>
      <selection pane="bottomRight" activeCell="A69" sqref="A69"/>
    </sheetView>
  </sheetViews>
  <sheetFormatPr defaultColWidth="9.140625" defaultRowHeight="12.75" x14ac:dyDescent="0.2"/>
  <cols>
    <col min="1" max="1" width="87.140625" style="4" customWidth="1"/>
    <col min="2" max="2" width="6" style="1" hidden="1" customWidth="1"/>
    <col min="3" max="3" width="13.7109375" style="2" bestFit="1" customWidth="1"/>
    <col min="4" max="47" width="12.28515625" style="2" bestFit="1" customWidth="1"/>
    <col min="48" max="80" width="12.28515625" style="3" bestFit="1" customWidth="1"/>
    <col min="81" max="81" width="12.28515625" style="265" bestFit="1" customWidth="1"/>
    <col min="82" max="82" width="11.85546875" style="265" bestFit="1" customWidth="1"/>
    <col min="83" max="83" width="12.7109375" style="265" bestFit="1" customWidth="1"/>
    <col min="84" max="84" width="12.28515625" style="265" bestFit="1" customWidth="1"/>
    <col min="85" max="85" width="12.42578125" style="453" bestFit="1" customWidth="1"/>
    <col min="86" max="86" width="13.42578125" style="244" bestFit="1" customWidth="1"/>
    <col min="87" max="87" width="12.7109375" style="244" bestFit="1" customWidth="1"/>
    <col min="88" max="89" width="12.28515625" style="244" bestFit="1" customWidth="1"/>
    <col min="90" max="95" width="8.85546875" style="244" customWidth="1"/>
    <col min="96" max="16384" width="9.140625" style="103"/>
  </cols>
  <sheetData>
    <row r="1" spans="1:95" ht="17.25" customHeight="1" x14ac:dyDescent="0.2">
      <c r="A1" s="239" t="s">
        <v>154</v>
      </c>
      <c r="BG1" s="482"/>
      <c r="BH1" s="482"/>
      <c r="BJ1" s="482"/>
    </row>
    <row r="2" spans="1:95" ht="27.75" customHeight="1" x14ac:dyDescent="0.2">
      <c r="A2" s="5" t="s">
        <v>102</v>
      </c>
      <c r="N2" s="6"/>
      <c r="BK2" s="379"/>
      <c r="BL2" s="379"/>
      <c r="BM2" s="379"/>
      <c r="BN2" s="379"/>
      <c r="BO2" s="379"/>
      <c r="BP2" s="379"/>
      <c r="BQ2" s="379"/>
      <c r="BR2" s="379"/>
    </row>
    <row r="3" spans="1:95" ht="16.5" customHeight="1" x14ac:dyDescent="0.2">
      <c r="A3" s="224" t="s">
        <v>25</v>
      </c>
      <c r="B3" s="225"/>
      <c r="C3" s="226" t="s">
        <v>39</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478"/>
      <c r="BL3" s="478"/>
      <c r="BM3" s="478"/>
      <c r="BN3" s="478"/>
      <c r="BO3" s="478"/>
      <c r="BP3" s="478"/>
      <c r="BQ3" s="478"/>
      <c r="BR3" s="478"/>
      <c r="BS3" s="227"/>
      <c r="BT3" s="227"/>
      <c r="BU3" s="227"/>
      <c r="BV3" s="227"/>
      <c r="BW3" s="227"/>
      <c r="BX3" s="227"/>
      <c r="BY3" s="227"/>
      <c r="BZ3" s="227"/>
      <c r="CA3" s="227"/>
      <c r="CB3" s="227"/>
      <c r="CC3" s="227"/>
      <c r="CD3" s="227"/>
      <c r="CE3" s="227"/>
      <c r="CF3" s="228"/>
    </row>
    <row r="4" spans="1:95" x14ac:dyDescent="0.2">
      <c r="A4" s="229" t="s">
        <v>242</v>
      </c>
      <c r="B4" s="230"/>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88"/>
      <c r="CD4" s="288"/>
      <c r="CE4" s="288"/>
      <c r="CF4" s="232"/>
    </row>
    <row r="5" spans="1:95" x14ac:dyDescent="0.2">
      <c r="A5" s="233"/>
      <c r="B5" s="234" t="s">
        <v>45</v>
      </c>
      <c r="C5" s="235" t="s">
        <v>0</v>
      </c>
      <c r="D5" s="235" t="s">
        <v>1</v>
      </c>
      <c r="E5" s="235" t="s">
        <v>2</v>
      </c>
      <c r="F5" s="235" t="s">
        <v>3</v>
      </c>
      <c r="G5" s="235" t="s">
        <v>4</v>
      </c>
      <c r="H5" s="235" t="s">
        <v>5</v>
      </c>
      <c r="I5" s="235" t="s">
        <v>6</v>
      </c>
      <c r="J5" s="235" t="s">
        <v>42</v>
      </c>
      <c r="K5" s="235" t="s">
        <v>8</v>
      </c>
      <c r="L5" s="235" t="s">
        <v>9</v>
      </c>
      <c r="M5" s="235" t="s">
        <v>10</v>
      </c>
      <c r="N5" s="235" t="s">
        <v>11</v>
      </c>
      <c r="O5" s="235" t="s">
        <v>12</v>
      </c>
      <c r="P5" s="235" t="s">
        <v>13</v>
      </c>
      <c r="Q5" s="235" t="s">
        <v>14</v>
      </c>
      <c r="R5" s="235" t="s">
        <v>7</v>
      </c>
      <c r="S5" s="235" t="s">
        <v>15</v>
      </c>
      <c r="T5" s="235" t="s">
        <v>16</v>
      </c>
      <c r="U5" s="235" t="s">
        <v>17</v>
      </c>
      <c r="V5" s="235" t="s">
        <v>18</v>
      </c>
      <c r="W5" s="235" t="s">
        <v>19</v>
      </c>
      <c r="X5" s="235" t="s">
        <v>20</v>
      </c>
      <c r="Y5" s="235" t="s">
        <v>21</v>
      </c>
      <c r="Z5" s="235" t="s">
        <v>22</v>
      </c>
      <c r="AA5" s="235" t="s">
        <v>23</v>
      </c>
      <c r="AB5" s="235" t="s">
        <v>24</v>
      </c>
      <c r="AC5" s="235" t="s">
        <v>49</v>
      </c>
      <c r="AD5" s="235" t="s">
        <v>51</v>
      </c>
      <c r="AE5" s="235" t="s">
        <v>52</v>
      </c>
      <c r="AF5" s="235" t="s">
        <v>53</v>
      </c>
      <c r="AG5" s="235" t="s">
        <v>54</v>
      </c>
      <c r="AH5" s="235" t="s">
        <v>55</v>
      </c>
      <c r="AI5" s="235" t="s">
        <v>56</v>
      </c>
      <c r="AJ5" s="235" t="s">
        <v>57</v>
      </c>
      <c r="AK5" s="235" t="s">
        <v>58</v>
      </c>
      <c r="AL5" s="235" t="s">
        <v>59</v>
      </c>
      <c r="AM5" s="235" t="s">
        <v>60</v>
      </c>
      <c r="AN5" s="235" t="s">
        <v>61</v>
      </c>
      <c r="AO5" s="235" t="s">
        <v>62</v>
      </c>
      <c r="AP5" s="235" t="s">
        <v>63</v>
      </c>
      <c r="AQ5" s="235" t="s">
        <v>64</v>
      </c>
      <c r="AR5" s="235" t="s">
        <v>65</v>
      </c>
      <c r="AS5" s="235" t="s">
        <v>66</v>
      </c>
      <c r="AT5" s="235" t="s">
        <v>67</v>
      </c>
      <c r="AU5" s="235" t="s">
        <v>68</v>
      </c>
      <c r="AV5" s="235" t="s">
        <v>69</v>
      </c>
      <c r="AW5" s="235" t="s">
        <v>70</v>
      </c>
      <c r="AX5" s="235" t="s">
        <v>71</v>
      </c>
      <c r="AY5" s="235" t="s">
        <v>72</v>
      </c>
      <c r="AZ5" s="235" t="s">
        <v>73</v>
      </c>
      <c r="BA5" s="235" t="s">
        <v>74</v>
      </c>
      <c r="BB5" s="235" t="s">
        <v>75</v>
      </c>
      <c r="BC5" s="235" t="s">
        <v>76</v>
      </c>
      <c r="BD5" s="235" t="s">
        <v>80</v>
      </c>
      <c r="BE5" s="235" t="s">
        <v>81</v>
      </c>
      <c r="BF5" s="235" t="s">
        <v>82</v>
      </c>
      <c r="BG5" s="235" t="s">
        <v>83</v>
      </c>
      <c r="BH5" s="235" t="s">
        <v>90</v>
      </c>
      <c r="BI5" s="235" t="s">
        <v>98</v>
      </c>
      <c r="BJ5" s="235" t="s">
        <v>99</v>
      </c>
      <c r="BK5" s="235" t="s">
        <v>101</v>
      </c>
      <c r="BL5" s="235" t="s">
        <v>103</v>
      </c>
      <c r="BM5" s="235" t="s">
        <v>104</v>
      </c>
      <c r="BN5" s="235" t="s">
        <v>106</v>
      </c>
      <c r="BO5" s="235" t="s">
        <v>107</v>
      </c>
      <c r="BP5" s="235" t="s">
        <v>108</v>
      </c>
      <c r="BQ5" s="235" t="s">
        <v>109</v>
      </c>
      <c r="BR5" s="235" t="s">
        <v>111</v>
      </c>
      <c r="BS5" s="235" t="s">
        <v>112</v>
      </c>
      <c r="BT5" s="235" t="s">
        <v>113</v>
      </c>
      <c r="BU5" s="235" t="s">
        <v>140</v>
      </c>
      <c r="BV5" s="235" t="s">
        <v>141</v>
      </c>
      <c r="BW5" s="235" t="s">
        <v>143</v>
      </c>
      <c r="BX5" s="235" t="s">
        <v>144</v>
      </c>
      <c r="BY5" s="235" t="s">
        <v>145</v>
      </c>
      <c r="BZ5" s="235" t="s">
        <v>146</v>
      </c>
      <c r="CA5" s="235" t="s">
        <v>147</v>
      </c>
      <c r="CB5" s="235" t="s">
        <v>148</v>
      </c>
      <c r="CC5" s="235" t="s">
        <v>149</v>
      </c>
      <c r="CD5" s="235" t="s">
        <v>150</v>
      </c>
      <c r="CE5" s="235" t="s">
        <v>153</v>
      </c>
      <c r="CF5" s="252" t="s">
        <v>248</v>
      </c>
    </row>
    <row r="6" spans="1:95" x14ac:dyDescent="0.2">
      <c r="A6" s="10"/>
      <c r="B6" s="11"/>
      <c r="C6" s="15"/>
      <c r="D6" s="16"/>
      <c r="E6" s="16"/>
      <c r="F6" s="16"/>
      <c r="G6" s="16"/>
      <c r="H6" s="16"/>
      <c r="I6" s="16"/>
      <c r="J6" s="16"/>
      <c r="K6" s="16"/>
      <c r="L6" s="16"/>
      <c r="M6" s="16"/>
      <c r="N6" s="16"/>
      <c r="O6" s="16"/>
      <c r="P6" s="16"/>
      <c r="Q6" s="16"/>
      <c r="R6" s="16"/>
      <c r="S6" s="16"/>
      <c r="T6" s="16"/>
      <c r="U6" s="16"/>
      <c r="V6" s="16"/>
      <c r="W6" s="16"/>
      <c r="X6" s="16"/>
      <c r="Y6" s="16"/>
      <c r="Z6" s="16"/>
      <c r="AA6" s="16"/>
      <c r="AB6" s="16"/>
      <c r="AC6" s="17"/>
      <c r="AD6" s="17"/>
      <c r="AE6" s="17"/>
      <c r="AF6" s="17"/>
      <c r="AG6" s="17"/>
      <c r="AH6" s="18"/>
      <c r="AI6" s="17"/>
      <c r="AJ6" s="15"/>
      <c r="AK6" s="19"/>
      <c r="AL6" s="15"/>
      <c r="AM6" s="19"/>
      <c r="AN6" s="15"/>
      <c r="AO6" s="15"/>
      <c r="AP6" s="15"/>
      <c r="AQ6" s="20"/>
      <c r="AR6" s="15"/>
      <c r="AS6" s="20"/>
      <c r="AT6" s="18"/>
      <c r="AU6" s="18"/>
      <c r="AV6" s="15"/>
      <c r="AW6" s="15"/>
      <c r="AX6" s="15"/>
      <c r="AY6" s="15"/>
      <c r="AZ6" s="15"/>
      <c r="BA6" s="15"/>
      <c r="BB6" s="15"/>
      <c r="BC6" s="15"/>
      <c r="BD6" s="15"/>
      <c r="BE6" s="15"/>
      <c r="BF6" s="15"/>
      <c r="BG6" s="18"/>
      <c r="BH6" s="18"/>
      <c r="BI6" s="16"/>
      <c r="BJ6" s="21"/>
      <c r="BK6" s="21"/>
      <c r="BL6" s="21"/>
      <c r="BM6" s="21"/>
      <c r="BN6" s="15"/>
      <c r="BO6" s="15"/>
      <c r="BP6" s="19"/>
      <c r="BQ6" s="15"/>
      <c r="BR6" s="19"/>
      <c r="BS6" s="15"/>
      <c r="BT6" s="15"/>
      <c r="BU6" s="15"/>
      <c r="BV6" s="15"/>
      <c r="BW6" s="18"/>
      <c r="BX6" s="18"/>
      <c r="BY6" s="18"/>
      <c r="BZ6" s="15"/>
      <c r="CA6" s="15"/>
      <c r="CB6" s="15"/>
      <c r="CC6" s="289"/>
      <c r="CD6" s="289"/>
      <c r="CE6" s="289"/>
      <c r="CF6" s="266"/>
    </row>
    <row r="7" spans="1:95" s="425" customFormat="1" x14ac:dyDescent="0.2">
      <c r="A7" s="236" t="s">
        <v>84</v>
      </c>
      <c r="B7" s="23"/>
      <c r="C7" s="24"/>
      <c r="D7" s="24"/>
      <c r="E7" s="24"/>
      <c r="F7" s="24"/>
      <c r="G7" s="24"/>
      <c r="H7" s="24"/>
      <c r="I7" s="24"/>
      <c r="J7" s="24"/>
      <c r="K7" s="24"/>
      <c r="L7" s="24"/>
      <c r="M7" s="24"/>
      <c r="N7" s="24"/>
      <c r="O7" s="24"/>
      <c r="P7" s="24"/>
      <c r="Q7" s="24"/>
      <c r="R7" s="24"/>
      <c r="S7" s="24"/>
      <c r="T7" s="24"/>
      <c r="U7" s="24"/>
      <c r="V7" s="24"/>
      <c r="W7" s="24"/>
      <c r="X7" s="24"/>
      <c r="Y7" s="24"/>
      <c r="Z7" s="24"/>
      <c r="AA7" s="24"/>
      <c r="AB7" s="24"/>
      <c r="AC7" s="25"/>
      <c r="AD7" s="25"/>
      <c r="AE7" s="25"/>
      <c r="AF7" s="25"/>
      <c r="AG7" s="25"/>
      <c r="AH7" s="25"/>
      <c r="AI7" s="25"/>
      <c r="AJ7" s="24"/>
      <c r="AK7" s="13"/>
      <c r="AL7" s="24"/>
      <c r="AM7" s="13"/>
      <c r="AN7" s="24"/>
      <c r="AO7" s="24"/>
      <c r="AP7" s="24"/>
      <c r="AQ7" s="13"/>
      <c r="AR7" s="24"/>
      <c r="AS7" s="13"/>
      <c r="AT7" s="25"/>
      <c r="AU7" s="25"/>
      <c r="AV7" s="24"/>
      <c r="AW7" s="24"/>
      <c r="AX7" s="24"/>
      <c r="AY7" s="24"/>
      <c r="AZ7" s="24"/>
      <c r="BA7" s="24"/>
      <c r="BB7" s="24"/>
      <c r="BC7" s="24"/>
      <c r="BD7" s="24"/>
      <c r="BE7" s="24"/>
      <c r="BF7" s="24"/>
      <c r="BG7" s="25"/>
      <c r="BH7" s="25"/>
      <c r="BI7" s="24"/>
      <c r="BJ7" s="26"/>
      <c r="BK7" s="26"/>
      <c r="BL7" s="26"/>
      <c r="BM7" s="26"/>
      <c r="BN7" s="24"/>
      <c r="BO7" s="24"/>
      <c r="BP7" s="13"/>
      <c r="BQ7" s="24"/>
      <c r="BR7" s="13"/>
      <c r="BS7" s="24"/>
      <c r="BT7" s="24"/>
      <c r="BU7" s="24"/>
      <c r="BV7" s="24"/>
      <c r="BW7" s="25"/>
      <c r="BX7" s="25"/>
      <c r="BY7" s="25"/>
      <c r="BZ7" s="24"/>
      <c r="CA7" s="24"/>
      <c r="CB7" s="24"/>
      <c r="CC7" s="290"/>
      <c r="CD7" s="290"/>
      <c r="CE7" s="290"/>
      <c r="CF7" s="267"/>
      <c r="CG7" s="453"/>
      <c r="CH7" s="244"/>
      <c r="CI7" s="244"/>
    </row>
    <row r="8" spans="1:95" x14ac:dyDescent="0.2">
      <c r="A8" s="10"/>
      <c r="B8" s="11"/>
      <c r="C8" s="28"/>
      <c r="D8" s="28"/>
      <c r="E8" s="28"/>
      <c r="F8" s="28"/>
      <c r="G8" s="28"/>
      <c r="H8" s="28"/>
      <c r="I8" s="28"/>
      <c r="J8" s="28"/>
      <c r="K8" s="28"/>
      <c r="L8" s="28"/>
      <c r="M8" s="28"/>
      <c r="N8" s="28"/>
      <c r="O8" s="28"/>
      <c r="P8" s="28"/>
      <c r="Q8" s="28"/>
      <c r="R8" s="28"/>
      <c r="S8" s="28"/>
      <c r="T8" s="28"/>
      <c r="U8" s="28"/>
      <c r="V8" s="28"/>
      <c r="W8" s="28"/>
      <c r="X8" s="28"/>
      <c r="Y8" s="28"/>
      <c r="Z8" s="28"/>
      <c r="AA8" s="28"/>
      <c r="AB8" s="28"/>
      <c r="AC8" s="29"/>
      <c r="AD8" s="29"/>
      <c r="AE8" s="29"/>
      <c r="AF8" s="29"/>
      <c r="AG8" s="30"/>
      <c r="AH8" s="30"/>
      <c r="AI8" s="29"/>
      <c r="AJ8" s="28"/>
      <c r="AK8" s="7"/>
      <c r="AL8" s="28"/>
      <c r="AM8" s="30"/>
      <c r="AN8" s="28"/>
      <c r="AO8" s="28"/>
      <c r="AP8" s="28"/>
      <c r="AQ8" s="31"/>
      <c r="AR8" s="28"/>
      <c r="AS8" s="7"/>
      <c r="AT8" s="29"/>
      <c r="AU8" s="29"/>
      <c r="AV8" s="28"/>
      <c r="AW8" s="28"/>
      <c r="AX8" s="28"/>
      <c r="AY8" s="28"/>
      <c r="AZ8" s="28"/>
      <c r="BA8" s="28"/>
      <c r="BB8" s="28"/>
      <c r="BC8" s="28"/>
      <c r="BD8" s="28"/>
      <c r="BE8" s="28"/>
      <c r="BF8" s="28"/>
      <c r="BG8" s="29"/>
      <c r="BH8" s="29"/>
      <c r="BI8" s="28"/>
      <c r="BJ8" s="32"/>
      <c r="BK8" s="32"/>
      <c r="BL8" s="32"/>
      <c r="BM8" s="32"/>
      <c r="BN8" s="28"/>
      <c r="BO8" s="28"/>
      <c r="BP8" s="7"/>
      <c r="BQ8" s="28"/>
      <c r="BR8" s="7"/>
      <c r="BS8" s="28"/>
      <c r="BT8" s="28"/>
      <c r="BU8" s="28"/>
      <c r="BV8" s="28"/>
      <c r="BW8" s="29"/>
      <c r="BX8" s="29"/>
      <c r="BY8" s="29"/>
      <c r="BZ8" s="28"/>
      <c r="CA8" s="28"/>
      <c r="CB8" s="28"/>
      <c r="CC8" s="291"/>
      <c r="CD8" s="291"/>
      <c r="CE8" s="291"/>
      <c r="CF8" s="268"/>
    </row>
    <row r="9" spans="1:95" x14ac:dyDescent="0.2">
      <c r="A9" s="395" t="s">
        <v>233</v>
      </c>
      <c r="B9" s="11"/>
      <c r="C9" s="28"/>
      <c r="D9" s="28"/>
      <c r="E9" s="28"/>
      <c r="F9" s="28"/>
      <c r="G9" s="28"/>
      <c r="H9" s="28"/>
      <c r="I9" s="28"/>
      <c r="J9" s="28"/>
      <c r="K9" s="28"/>
      <c r="L9" s="28"/>
      <c r="M9" s="28"/>
      <c r="N9" s="28"/>
      <c r="O9" s="28"/>
      <c r="P9" s="28"/>
      <c r="Q9" s="28"/>
      <c r="R9" s="28"/>
      <c r="S9" s="28"/>
      <c r="T9" s="28"/>
      <c r="U9" s="28"/>
      <c r="V9" s="28"/>
      <c r="W9" s="28"/>
      <c r="X9" s="28"/>
      <c r="Y9" s="28"/>
      <c r="Z9" s="28"/>
      <c r="AA9" s="28"/>
      <c r="AB9" s="28"/>
      <c r="AC9" s="29"/>
      <c r="AD9" s="29"/>
      <c r="AE9" s="29"/>
      <c r="AF9" s="29"/>
      <c r="AG9" s="29"/>
      <c r="AH9" s="29"/>
      <c r="AI9" s="29"/>
      <c r="AJ9" s="28"/>
      <c r="AK9" s="7"/>
      <c r="AL9" s="28"/>
      <c r="AM9" s="29"/>
      <c r="AN9" s="28"/>
      <c r="AO9" s="28"/>
      <c r="AP9" s="28"/>
      <c r="AQ9" s="28"/>
      <c r="AR9" s="28"/>
      <c r="AS9" s="7"/>
      <c r="AT9" s="29"/>
      <c r="AU9" s="29"/>
      <c r="AV9" s="28"/>
      <c r="AW9" s="28"/>
      <c r="AX9" s="28"/>
      <c r="AY9" s="28"/>
      <c r="AZ9" s="28"/>
      <c r="BA9" s="28"/>
      <c r="BB9" s="28"/>
      <c r="BC9" s="28"/>
      <c r="BD9" s="28"/>
      <c r="BE9" s="28"/>
      <c r="BF9" s="28"/>
      <c r="BG9" s="29"/>
      <c r="BH9" s="29"/>
      <c r="BI9" s="28"/>
      <c r="BJ9" s="32"/>
      <c r="BK9" s="32"/>
      <c r="BL9" s="32"/>
      <c r="BM9" s="32"/>
      <c r="BN9" s="28"/>
      <c r="BO9" s="28"/>
      <c r="BP9" s="7"/>
      <c r="BQ9" s="28"/>
      <c r="BR9" s="7"/>
      <c r="BS9" s="28"/>
      <c r="BT9" s="28"/>
      <c r="BU9" s="28"/>
      <c r="BV9" s="28"/>
      <c r="BW9" s="29"/>
      <c r="BX9" s="29"/>
      <c r="BY9" s="29"/>
      <c r="BZ9" s="28"/>
      <c r="CA9" s="28"/>
      <c r="CB9" s="28"/>
      <c r="CC9" s="291"/>
      <c r="CD9" s="291"/>
      <c r="CE9" s="291"/>
      <c r="CF9" s="268"/>
    </row>
    <row r="10" spans="1:95" x14ac:dyDescent="0.2">
      <c r="A10" s="35" t="s">
        <v>26</v>
      </c>
      <c r="B10" s="36"/>
      <c r="C10" s="37">
        <v>15.9</v>
      </c>
      <c r="D10" s="37">
        <v>10.6</v>
      </c>
      <c r="E10" s="37">
        <v>9.3000000000000007</v>
      </c>
      <c r="F10" s="37">
        <v>26.2</v>
      </c>
      <c r="G10" s="37">
        <v>20.100000000000001</v>
      </c>
      <c r="H10" s="37">
        <v>14</v>
      </c>
      <c r="I10" s="37">
        <v>17.600000000000001</v>
      </c>
      <c r="J10" s="37">
        <v>28.1</v>
      </c>
      <c r="K10" s="37">
        <v>18.7</v>
      </c>
      <c r="L10" s="37">
        <v>19.899999999999999</v>
      </c>
      <c r="M10" s="37">
        <v>30</v>
      </c>
      <c r="N10" s="37">
        <v>32.4</v>
      </c>
      <c r="O10" s="37">
        <v>52.7</v>
      </c>
      <c r="P10" s="37">
        <v>31.1</v>
      </c>
      <c r="Q10" s="37">
        <v>24.1</v>
      </c>
      <c r="R10" s="37">
        <v>33</v>
      </c>
      <c r="S10" s="37">
        <v>36.9</v>
      </c>
      <c r="T10" s="37">
        <v>39.799999999999997</v>
      </c>
      <c r="U10" s="37">
        <v>47.8</v>
      </c>
      <c r="V10" s="37">
        <v>53.2</v>
      </c>
      <c r="W10" s="37">
        <v>79.7</v>
      </c>
      <c r="X10" s="37">
        <v>76.599999999999994</v>
      </c>
      <c r="Y10" s="37">
        <v>52.3</v>
      </c>
      <c r="Z10" s="37">
        <v>70.900000000000006</v>
      </c>
      <c r="AA10" s="37">
        <v>84.5</v>
      </c>
      <c r="AB10" s="37">
        <v>67.8</v>
      </c>
      <c r="AC10" s="38">
        <v>72.552000000000007</v>
      </c>
      <c r="AD10" s="38">
        <v>79</v>
      </c>
      <c r="AE10" s="38">
        <v>77.5</v>
      </c>
      <c r="AF10" s="38">
        <v>60.4</v>
      </c>
      <c r="AG10" s="38">
        <v>63.1</v>
      </c>
      <c r="AH10" s="38">
        <v>75</v>
      </c>
      <c r="AI10" s="38">
        <v>69.489000000000004</v>
      </c>
      <c r="AJ10" s="37">
        <v>94</v>
      </c>
      <c r="AK10" s="39">
        <v>86</v>
      </c>
      <c r="AL10" s="37">
        <v>93.2</v>
      </c>
      <c r="AM10" s="38">
        <v>97</v>
      </c>
      <c r="AN10" s="37">
        <v>99</v>
      </c>
      <c r="AO10" s="37">
        <v>80</v>
      </c>
      <c r="AP10" s="37">
        <v>96.1</v>
      </c>
      <c r="AQ10" s="37">
        <v>98.1</v>
      </c>
      <c r="AR10" s="37">
        <v>75</v>
      </c>
      <c r="AS10" s="39">
        <v>100</v>
      </c>
      <c r="AT10" s="38">
        <v>79</v>
      </c>
      <c r="AU10" s="38">
        <v>81</v>
      </c>
      <c r="AV10" s="37">
        <v>64</v>
      </c>
      <c r="AW10" s="37">
        <v>57</v>
      </c>
      <c r="AX10" s="37">
        <v>56</v>
      </c>
      <c r="AY10" s="37">
        <v>75</v>
      </c>
      <c r="AZ10" s="37">
        <v>61</v>
      </c>
      <c r="BA10" s="37">
        <v>75</v>
      </c>
      <c r="BB10" s="37">
        <v>79</v>
      </c>
      <c r="BC10" s="37">
        <v>89.7</v>
      </c>
      <c r="BD10" s="37">
        <v>70.900000000000006</v>
      </c>
      <c r="BE10" s="37">
        <v>77.599999999999994</v>
      </c>
      <c r="BF10" s="37">
        <v>94.3</v>
      </c>
      <c r="BG10" s="38">
        <v>128</v>
      </c>
      <c r="BH10" s="38">
        <v>124</v>
      </c>
      <c r="BI10" s="37">
        <v>130.6</v>
      </c>
      <c r="BJ10" s="40">
        <v>167.339</v>
      </c>
      <c r="BK10" s="40">
        <v>146.1</v>
      </c>
      <c r="BL10" s="40">
        <v>126.5</v>
      </c>
      <c r="BM10" s="40">
        <v>130.80000000000001</v>
      </c>
      <c r="BN10" s="37">
        <v>139.4</v>
      </c>
      <c r="BO10" s="37">
        <v>139.80000000000001</v>
      </c>
      <c r="BP10" s="39">
        <v>118.46</v>
      </c>
      <c r="BQ10" s="37">
        <v>125.64</v>
      </c>
      <c r="BR10" s="39">
        <v>144.21199999999999</v>
      </c>
      <c r="BS10" s="37">
        <v>143.54900000000001</v>
      </c>
      <c r="BT10" s="37">
        <v>112.039</v>
      </c>
      <c r="BU10" s="37">
        <v>132.32</v>
      </c>
      <c r="BV10" s="37">
        <v>132.44451273999999</v>
      </c>
      <c r="BW10" s="38">
        <v>133.83386989999991</v>
      </c>
      <c r="BX10" s="38">
        <v>126.21776198000001</v>
      </c>
      <c r="BY10" s="38">
        <v>150.08864187</v>
      </c>
      <c r="BZ10" s="37">
        <v>146.06296796999999</v>
      </c>
      <c r="CA10" s="37">
        <v>305.82469223000044</v>
      </c>
      <c r="CB10" s="37">
        <v>299.27135867999868</v>
      </c>
      <c r="CC10" s="292">
        <v>327.35369188999999</v>
      </c>
      <c r="CD10" s="292">
        <v>339.17945001999999</v>
      </c>
      <c r="CE10" s="292">
        <v>515.29590185999996</v>
      </c>
      <c r="CF10" s="269">
        <v>386.54888596000001</v>
      </c>
      <c r="CG10" s="244"/>
    </row>
    <row r="11" spans="1:95" x14ac:dyDescent="0.2">
      <c r="A11" s="43" t="s">
        <v>29</v>
      </c>
      <c r="B11" s="44"/>
      <c r="C11" s="45">
        <v>-2.8</v>
      </c>
      <c r="D11" s="45">
        <v>-2.2000000000000002</v>
      </c>
      <c r="E11" s="45">
        <v>-1.7</v>
      </c>
      <c r="F11" s="45">
        <v>-3.5</v>
      </c>
      <c r="G11" s="45">
        <v>-2.6</v>
      </c>
      <c r="H11" s="45">
        <v>-1.8</v>
      </c>
      <c r="I11" s="45">
        <v>-2.5</v>
      </c>
      <c r="J11" s="45">
        <v>-3.1</v>
      </c>
      <c r="K11" s="45">
        <v>-2.2000000000000002</v>
      </c>
      <c r="L11" s="45">
        <v>-2.4</v>
      </c>
      <c r="M11" s="45">
        <v>-3.5</v>
      </c>
      <c r="N11" s="45">
        <v>-3.9</v>
      </c>
      <c r="O11" s="45">
        <v>-6.2</v>
      </c>
      <c r="P11" s="45">
        <v>-4.3</v>
      </c>
      <c r="Q11" s="45">
        <v>-3.4</v>
      </c>
      <c r="R11" s="45">
        <v>-3.9</v>
      </c>
      <c r="S11" s="45">
        <v>-4.5999999999999996</v>
      </c>
      <c r="T11" s="45">
        <v>-5.2</v>
      </c>
      <c r="U11" s="45">
        <v>-6.3</v>
      </c>
      <c r="V11" s="45">
        <v>-7.4</v>
      </c>
      <c r="W11" s="45">
        <v>-9.5</v>
      </c>
      <c r="X11" s="45">
        <v>-9.6</v>
      </c>
      <c r="Y11" s="45">
        <v>-8.8000000000000007</v>
      </c>
      <c r="Z11" s="45">
        <v>-11.9</v>
      </c>
      <c r="AA11" s="45">
        <v>-13.2</v>
      </c>
      <c r="AB11" s="45">
        <v>-11</v>
      </c>
      <c r="AC11" s="46">
        <v>-12.037000000000001</v>
      </c>
      <c r="AD11" s="46">
        <v>-12</v>
      </c>
      <c r="AE11" s="46">
        <v>-13.49</v>
      </c>
      <c r="AF11" s="46">
        <v>-10.48</v>
      </c>
      <c r="AG11" s="46">
        <v>-9.6999999999999993</v>
      </c>
      <c r="AH11" s="46">
        <v>-13</v>
      </c>
      <c r="AI11" s="46">
        <v>-11.12</v>
      </c>
      <c r="AJ11" s="45">
        <v>-12</v>
      </c>
      <c r="AK11" s="47">
        <v>-9</v>
      </c>
      <c r="AL11" s="45">
        <v>-10.7</v>
      </c>
      <c r="AM11" s="46">
        <v>-10</v>
      </c>
      <c r="AN11" s="45">
        <v>-12</v>
      </c>
      <c r="AO11" s="45">
        <v>-10</v>
      </c>
      <c r="AP11" s="45">
        <v>-11.2</v>
      </c>
      <c r="AQ11" s="45">
        <v>-10.6</v>
      </c>
      <c r="AR11" s="45">
        <v>-11</v>
      </c>
      <c r="AS11" s="47">
        <v>-13</v>
      </c>
      <c r="AT11" s="46">
        <v>-12</v>
      </c>
      <c r="AU11" s="46">
        <v>-11</v>
      </c>
      <c r="AV11" s="45">
        <v>-11</v>
      </c>
      <c r="AW11" s="45">
        <v>-10</v>
      </c>
      <c r="AX11" s="45">
        <v>-10</v>
      </c>
      <c r="AY11" s="45">
        <v>-11</v>
      </c>
      <c r="AZ11" s="45">
        <v>-10</v>
      </c>
      <c r="BA11" s="45">
        <v>-12</v>
      </c>
      <c r="BB11" s="45">
        <v>-12</v>
      </c>
      <c r="BC11" s="45">
        <v>-12.3</v>
      </c>
      <c r="BD11" s="45">
        <v>-10.1</v>
      </c>
      <c r="BE11" s="45">
        <v>-11</v>
      </c>
      <c r="BF11" s="45">
        <v>-13.4</v>
      </c>
      <c r="BG11" s="46">
        <v>-15</v>
      </c>
      <c r="BH11" s="46">
        <v>-16</v>
      </c>
      <c r="BI11" s="45">
        <v>-18.100000000000001</v>
      </c>
      <c r="BJ11" s="48">
        <v>-21.6</v>
      </c>
      <c r="BK11" s="48">
        <v>-20.9</v>
      </c>
      <c r="BL11" s="48">
        <v>-16.899999999999999</v>
      </c>
      <c r="BM11" s="48">
        <v>-17.8</v>
      </c>
      <c r="BN11" s="45">
        <v>-17.8</v>
      </c>
      <c r="BO11" s="45">
        <v>-18.100000000000001</v>
      </c>
      <c r="BP11" s="47">
        <v>-18.2</v>
      </c>
      <c r="BQ11" s="45">
        <v>-19.97</v>
      </c>
      <c r="BR11" s="47">
        <v>-22.373999999999999</v>
      </c>
      <c r="BS11" s="45">
        <v>-21.917000000000002</v>
      </c>
      <c r="BT11" s="45">
        <v>-20.448</v>
      </c>
      <c r="BU11" s="45">
        <v>-21.335000000000001</v>
      </c>
      <c r="BV11" s="45">
        <v>-21.399820720000001</v>
      </c>
      <c r="BW11" s="46">
        <v>-21.526510200000001</v>
      </c>
      <c r="BX11" s="46">
        <v>-21.38122937</v>
      </c>
      <c r="BY11" s="46">
        <v>-24.401146069999999</v>
      </c>
      <c r="BZ11" s="45">
        <v>-23.01624962</v>
      </c>
      <c r="CA11" s="45">
        <v>-37.972476911072008</v>
      </c>
      <c r="CB11" s="45">
        <v>-39.206426276608006</v>
      </c>
      <c r="CC11" s="293">
        <v>-44.653204286608002</v>
      </c>
      <c r="CD11" s="293">
        <v>-47.753498075712002</v>
      </c>
      <c r="CE11" s="293">
        <v>-76.642578404436009</v>
      </c>
      <c r="CF11" s="270">
        <v>-52.839965013307932</v>
      </c>
      <c r="CG11" s="244"/>
    </row>
    <row r="12" spans="1:95" s="425" customFormat="1" x14ac:dyDescent="0.2">
      <c r="A12" s="50" t="s">
        <v>30</v>
      </c>
      <c r="B12" s="51"/>
      <c r="C12" s="52">
        <f t="shared" ref="C12:AH12" si="0">SUM(C10:C11)</f>
        <v>13.100000000000001</v>
      </c>
      <c r="D12" s="52">
        <f t="shared" si="0"/>
        <v>8.3999999999999986</v>
      </c>
      <c r="E12" s="52">
        <f t="shared" si="0"/>
        <v>7.6000000000000005</v>
      </c>
      <c r="F12" s="52">
        <f t="shared" si="0"/>
        <v>22.7</v>
      </c>
      <c r="G12" s="52">
        <f t="shared" si="0"/>
        <v>17.5</v>
      </c>
      <c r="H12" s="52">
        <f t="shared" si="0"/>
        <v>12.2</v>
      </c>
      <c r="I12" s="52">
        <f t="shared" si="0"/>
        <v>15.100000000000001</v>
      </c>
      <c r="J12" s="52">
        <f t="shared" si="0"/>
        <v>25</v>
      </c>
      <c r="K12" s="52">
        <f t="shared" si="0"/>
        <v>16.5</v>
      </c>
      <c r="L12" s="52">
        <f t="shared" si="0"/>
        <v>17.5</v>
      </c>
      <c r="M12" s="52">
        <f t="shared" si="0"/>
        <v>26.5</v>
      </c>
      <c r="N12" s="52">
        <f t="shared" si="0"/>
        <v>28.5</v>
      </c>
      <c r="O12" s="52">
        <f t="shared" si="0"/>
        <v>46.5</v>
      </c>
      <c r="P12" s="52">
        <f t="shared" si="0"/>
        <v>26.8</v>
      </c>
      <c r="Q12" s="52">
        <f t="shared" si="0"/>
        <v>20.700000000000003</v>
      </c>
      <c r="R12" s="52">
        <f t="shared" si="0"/>
        <v>29.1</v>
      </c>
      <c r="S12" s="52">
        <f t="shared" si="0"/>
        <v>32.299999999999997</v>
      </c>
      <c r="T12" s="52">
        <f t="shared" si="0"/>
        <v>34.599999999999994</v>
      </c>
      <c r="U12" s="52">
        <f t="shared" si="0"/>
        <v>41.5</v>
      </c>
      <c r="V12" s="52">
        <f t="shared" si="0"/>
        <v>45.800000000000004</v>
      </c>
      <c r="W12" s="52">
        <f t="shared" si="0"/>
        <v>70.2</v>
      </c>
      <c r="X12" s="52">
        <f t="shared" si="0"/>
        <v>67</v>
      </c>
      <c r="Y12" s="52">
        <f t="shared" si="0"/>
        <v>43.5</v>
      </c>
      <c r="Z12" s="52">
        <f t="shared" si="0"/>
        <v>59.000000000000007</v>
      </c>
      <c r="AA12" s="52">
        <f t="shared" si="0"/>
        <v>71.3</v>
      </c>
      <c r="AB12" s="52">
        <f t="shared" si="0"/>
        <v>56.8</v>
      </c>
      <c r="AC12" s="53">
        <f t="shared" si="0"/>
        <v>60.515000000000008</v>
      </c>
      <c r="AD12" s="54">
        <f t="shared" si="0"/>
        <v>67</v>
      </c>
      <c r="AE12" s="54">
        <f t="shared" si="0"/>
        <v>64.010000000000005</v>
      </c>
      <c r="AF12" s="54">
        <f t="shared" si="0"/>
        <v>49.92</v>
      </c>
      <c r="AG12" s="54">
        <f t="shared" si="0"/>
        <v>53.400000000000006</v>
      </c>
      <c r="AH12" s="54">
        <f t="shared" si="0"/>
        <v>62</v>
      </c>
      <c r="AI12" s="54">
        <f t="shared" ref="AI12:BF12" si="1">SUM(AI10:AI11)</f>
        <v>58.369000000000007</v>
      </c>
      <c r="AJ12" s="52">
        <f t="shared" si="1"/>
        <v>82</v>
      </c>
      <c r="AK12" s="54">
        <f t="shared" si="1"/>
        <v>77</v>
      </c>
      <c r="AL12" s="52">
        <f t="shared" si="1"/>
        <v>82.5</v>
      </c>
      <c r="AM12" s="54">
        <f t="shared" si="1"/>
        <v>87</v>
      </c>
      <c r="AN12" s="52">
        <f t="shared" si="1"/>
        <v>87</v>
      </c>
      <c r="AO12" s="52">
        <f t="shared" si="1"/>
        <v>70</v>
      </c>
      <c r="AP12" s="52">
        <f t="shared" si="1"/>
        <v>84.899999999999991</v>
      </c>
      <c r="AQ12" s="52">
        <f t="shared" si="1"/>
        <v>87.5</v>
      </c>
      <c r="AR12" s="52">
        <f t="shared" si="1"/>
        <v>64</v>
      </c>
      <c r="AS12" s="53">
        <f t="shared" si="1"/>
        <v>87</v>
      </c>
      <c r="AT12" s="54">
        <f t="shared" si="1"/>
        <v>67</v>
      </c>
      <c r="AU12" s="54">
        <f t="shared" si="1"/>
        <v>70</v>
      </c>
      <c r="AV12" s="52">
        <f t="shared" si="1"/>
        <v>53</v>
      </c>
      <c r="AW12" s="52">
        <f t="shared" si="1"/>
        <v>47</v>
      </c>
      <c r="AX12" s="52">
        <f t="shared" si="1"/>
        <v>46</v>
      </c>
      <c r="AY12" s="52">
        <f t="shared" si="1"/>
        <v>64</v>
      </c>
      <c r="AZ12" s="52">
        <f t="shared" si="1"/>
        <v>51</v>
      </c>
      <c r="BA12" s="52">
        <f t="shared" si="1"/>
        <v>63</v>
      </c>
      <c r="BB12" s="52">
        <f t="shared" si="1"/>
        <v>67</v>
      </c>
      <c r="BC12" s="52">
        <f t="shared" si="1"/>
        <v>77.400000000000006</v>
      </c>
      <c r="BD12" s="52">
        <f t="shared" si="1"/>
        <v>60.800000000000004</v>
      </c>
      <c r="BE12" s="52">
        <f t="shared" si="1"/>
        <v>66.599999999999994</v>
      </c>
      <c r="BF12" s="52">
        <f t="shared" si="1"/>
        <v>80.899999999999991</v>
      </c>
      <c r="BG12" s="52">
        <v>113</v>
      </c>
      <c r="BH12" s="55">
        <f t="shared" ref="BH12:CE12" si="2">SUM(BH10:BH11)</f>
        <v>108</v>
      </c>
      <c r="BI12" s="53">
        <f t="shared" si="2"/>
        <v>112.5</v>
      </c>
      <c r="BJ12" s="52">
        <f t="shared" si="2"/>
        <v>145.739</v>
      </c>
      <c r="BK12" s="52">
        <f t="shared" si="2"/>
        <v>125.19999999999999</v>
      </c>
      <c r="BL12" s="52">
        <f t="shared" si="2"/>
        <v>109.6</v>
      </c>
      <c r="BM12" s="52">
        <f t="shared" si="2"/>
        <v>113.00000000000001</v>
      </c>
      <c r="BN12" s="52">
        <f t="shared" si="2"/>
        <v>121.60000000000001</v>
      </c>
      <c r="BO12" s="52">
        <f t="shared" si="2"/>
        <v>121.70000000000002</v>
      </c>
      <c r="BP12" s="53">
        <f t="shared" si="2"/>
        <v>100.25999999999999</v>
      </c>
      <c r="BQ12" s="52">
        <f t="shared" si="2"/>
        <v>105.67</v>
      </c>
      <c r="BR12" s="52">
        <f t="shared" si="2"/>
        <v>121.83799999999999</v>
      </c>
      <c r="BS12" s="52">
        <f t="shared" si="2"/>
        <v>121.63200000000001</v>
      </c>
      <c r="BT12" s="52">
        <f t="shared" si="2"/>
        <v>91.591000000000008</v>
      </c>
      <c r="BU12" s="52">
        <f t="shared" si="2"/>
        <v>110.98499999999999</v>
      </c>
      <c r="BV12" s="52">
        <f t="shared" si="2"/>
        <v>111.04469201999999</v>
      </c>
      <c r="BW12" s="54">
        <f t="shared" si="2"/>
        <v>112.30735969999991</v>
      </c>
      <c r="BX12" s="54">
        <f t="shared" si="2"/>
        <v>104.83653261000001</v>
      </c>
      <c r="BY12" s="54">
        <f t="shared" si="2"/>
        <v>125.68749580000001</v>
      </c>
      <c r="BZ12" s="52">
        <f t="shared" si="2"/>
        <v>123.04671834999999</v>
      </c>
      <c r="CA12" s="52">
        <f t="shared" si="2"/>
        <v>267.85221531892842</v>
      </c>
      <c r="CB12" s="52">
        <f t="shared" si="2"/>
        <v>260.06493240339069</v>
      </c>
      <c r="CC12" s="294">
        <f t="shared" si="2"/>
        <v>282.70048760339199</v>
      </c>
      <c r="CD12" s="294">
        <f t="shared" si="2"/>
        <v>291.42595194428799</v>
      </c>
      <c r="CE12" s="294">
        <f t="shared" si="2"/>
        <v>438.65332345556396</v>
      </c>
      <c r="CF12" s="271">
        <f t="shared" ref="CF12" si="3">SUM(CF10:CF11)</f>
        <v>333.70892094669205</v>
      </c>
      <c r="CG12" s="244"/>
      <c r="CH12" s="511"/>
      <c r="CI12" s="512"/>
    </row>
    <row r="13" spans="1:95" s="425" customFormat="1" x14ac:dyDescent="0.2">
      <c r="A13" s="50" t="s">
        <v>232</v>
      </c>
      <c r="B13" s="406"/>
      <c r="C13" s="58" t="s">
        <v>50</v>
      </c>
      <c r="D13" s="58" t="s">
        <v>50</v>
      </c>
      <c r="E13" s="58" t="s">
        <v>50</v>
      </c>
      <c r="F13" s="58" t="s">
        <v>50</v>
      </c>
      <c r="G13" s="58" t="s">
        <v>50</v>
      </c>
      <c r="H13" s="58" t="s">
        <v>50</v>
      </c>
      <c r="I13" s="58" t="s">
        <v>50</v>
      </c>
      <c r="J13" s="58" t="s">
        <v>50</v>
      </c>
      <c r="K13" s="58" t="s">
        <v>50</v>
      </c>
      <c r="L13" s="58" t="s">
        <v>50</v>
      </c>
      <c r="M13" s="58" t="s">
        <v>50</v>
      </c>
      <c r="N13" s="58" t="s">
        <v>50</v>
      </c>
      <c r="O13" s="58" t="s">
        <v>50</v>
      </c>
      <c r="P13" s="58" t="s">
        <v>50</v>
      </c>
      <c r="Q13" s="58" t="s">
        <v>50</v>
      </c>
      <c r="R13" s="58" t="s">
        <v>50</v>
      </c>
      <c r="S13" s="58" t="s">
        <v>50</v>
      </c>
      <c r="T13" s="58" t="s">
        <v>50</v>
      </c>
      <c r="U13" s="58" t="s">
        <v>50</v>
      </c>
      <c r="V13" s="58" t="s">
        <v>50</v>
      </c>
      <c r="W13" s="58" t="s">
        <v>50</v>
      </c>
      <c r="X13" s="58" t="s">
        <v>50</v>
      </c>
      <c r="Y13" s="58" t="s">
        <v>50</v>
      </c>
      <c r="Z13" s="58" t="s">
        <v>50</v>
      </c>
      <c r="AA13" s="58" t="s">
        <v>50</v>
      </c>
      <c r="AB13" s="58" t="s">
        <v>50</v>
      </c>
      <c r="AC13" s="58" t="s">
        <v>50</v>
      </c>
      <c r="AD13" s="58" t="s">
        <v>50</v>
      </c>
      <c r="AE13" s="58" t="s">
        <v>50</v>
      </c>
      <c r="AF13" s="58" t="s">
        <v>50</v>
      </c>
      <c r="AG13" s="58" t="s">
        <v>50</v>
      </c>
      <c r="AH13" s="58" t="s">
        <v>50</v>
      </c>
      <c r="AI13" s="58" t="s">
        <v>50</v>
      </c>
      <c r="AJ13" s="58" t="s">
        <v>50</v>
      </c>
      <c r="AK13" s="58" t="s">
        <v>50</v>
      </c>
      <c r="AL13" s="58" t="s">
        <v>50</v>
      </c>
      <c r="AM13" s="58" t="s">
        <v>50</v>
      </c>
      <c r="AN13" s="58" t="s">
        <v>50</v>
      </c>
      <c r="AO13" s="58" t="s">
        <v>50</v>
      </c>
      <c r="AP13" s="58" t="s">
        <v>50</v>
      </c>
      <c r="AQ13" s="58" t="s">
        <v>50</v>
      </c>
      <c r="AR13" s="58" t="s">
        <v>50</v>
      </c>
      <c r="AS13" s="58" t="s">
        <v>50</v>
      </c>
      <c r="AT13" s="58" t="s">
        <v>50</v>
      </c>
      <c r="AU13" s="58" t="s">
        <v>50</v>
      </c>
      <c r="AV13" s="58" t="s">
        <v>50</v>
      </c>
      <c r="AW13" s="58" t="s">
        <v>50</v>
      </c>
      <c r="AX13" s="58" t="s">
        <v>50</v>
      </c>
      <c r="AY13" s="58" t="s">
        <v>50</v>
      </c>
      <c r="AZ13" s="58" t="s">
        <v>50</v>
      </c>
      <c r="BA13" s="58" t="s">
        <v>50</v>
      </c>
      <c r="BB13" s="58" t="s">
        <v>50</v>
      </c>
      <c r="BC13" s="58" t="s">
        <v>50</v>
      </c>
      <c r="BD13" s="58" t="s">
        <v>50</v>
      </c>
      <c r="BE13" s="58" t="s">
        <v>50</v>
      </c>
      <c r="BF13" s="58" t="s">
        <v>50</v>
      </c>
      <c r="BG13" s="58" t="s">
        <v>50</v>
      </c>
      <c r="BH13" s="58" t="s">
        <v>50</v>
      </c>
      <c r="BI13" s="58" t="s">
        <v>50</v>
      </c>
      <c r="BJ13" s="58" t="s">
        <v>50</v>
      </c>
      <c r="BK13" s="55">
        <v>15.29</v>
      </c>
      <c r="BL13" s="55">
        <v>17.52</v>
      </c>
      <c r="BM13" s="55">
        <v>23.21</v>
      </c>
      <c r="BN13" s="52">
        <v>24.56</v>
      </c>
      <c r="BO13" s="52">
        <v>25.4</v>
      </c>
      <c r="BP13" s="53">
        <v>23.99</v>
      </c>
      <c r="BQ13" s="52">
        <v>19.149999999999999</v>
      </c>
      <c r="BR13" s="53">
        <v>31.22</v>
      </c>
      <c r="BS13" s="52">
        <v>33.286735440000001</v>
      </c>
      <c r="BT13" s="52">
        <v>29.649249829999999</v>
      </c>
      <c r="BU13" s="52">
        <v>32.267983240000007</v>
      </c>
      <c r="BV13" s="52">
        <v>31.470133320000002</v>
      </c>
      <c r="BW13" s="54">
        <v>31.567262279999998</v>
      </c>
      <c r="BX13" s="54">
        <v>29.317766330000001</v>
      </c>
      <c r="BY13" s="54">
        <v>32.909923709999994</v>
      </c>
      <c r="BZ13" s="52">
        <v>30.84022161</v>
      </c>
      <c r="CA13" s="52">
        <v>72.656789439999997</v>
      </c>
      <c r="CB13" s="52">
        <v>80.547816160000011</v>
      </c>
      <c r="CC13" s="294">
        <v>87.975921750000026</v>
      </c>
      <c r="CD13" s="294">
        <v>114.01333226</v>
      </c>
      <c r="CE13" s="294">
        <v>247.28586344000001</v>
      </c>
      <c r="CF13" s="271">
        <v>128.68548082999996</v>
      </c>
      <c r="CG13" s="244"/>
      <c r="CH13" s="511"/>
      <c r="CI13" s="512"/>
      <c r="CJ13" s="455"/>
      <c r="CK13" s="455"/>
      <c r="CL13" s="455"/>
      <c r="CM13" s="455"/>
      <c r="CN13" s="455"/>
      <c r="CO13" s="455"/>
      <c r="CP13" s="455"/>
      <c r="CQ13" s="455"/>
    </row>
    <row r="14" spans="1:95" s="426" customFormat="1" x14ac:dyDescent="0.2">
      <c r="A14" s="398" t="s">
        <v>234</v>
      </c>
      <c r="B14" s="349"/>
      <c r="C14" s="350">
        <f>SUM(C12:C13)</f>
        <v>13.100000000000001</v>
      </c>
      <c r="D14" s="350">
        <f t="shared" ref="D14:BO14" si="4">SUM(D12:D13)</f>
        <v>8.3999999999999986</v>
      </c>
      <c r="E14" s="350">
        <f t="shared" si="4"/>
        <v>7.6000000000000005</v>
      </c>
      <c r="F14" s="350">
        <f t="shared" si="4"/>
        <v>22.7</v>
      </c>
      <c r="G14" s="350">
        <f t="shared" si="4"/>
        <v>17.5</v>
      </c>
      <c r="H14" s="350">
        <f t="shared" si="4"/>
        <v>12.2</v>
      </c>
      <c r="I14" s="350">
        <f t="shared" si="4"/>
        <v>15.100000000000001</v>
      </c>
      <c r="J14" s="350">
        <f t="shared" si="4"/>
        <v>25</v>
      </c>
      <c r="K14" s="350">
        <f t="shared" si="4"/>
        <v>16.5</v>
      </c>
      <c r="L14" s="350">
        <f t="shared" si="4"/>
        <v>17.5</v>
      </c>
      <c r="M14" s="350">
        <f t="shared" si="4"/>
        <v>26.5</v>
      </c>
      <c r="N14" s="350">
        <f t="shared" si="4"/>
        <v>28.5</v>
      </c>
      <c r="O14" s="350">
        <f t="shared" si="4"/>
        <v>46.5</v>
      </c>
      <c r="P14" s="350">
        <f t="shared" si="4"/>
        <v>26.8</v>
      </c>
      <c r="Q14" s="350">
        <f t="shared" si="4"/>
        <v>20.700000000000003</v>
      </c>
      <c r="R14" s="350">
        <f t="shared" si="4"/>
        <v>29.1</v>
      </c>
      <c r="S14" s="350">
        <f t="shared" si="4"/>
        <v>32.299999999999997</v>
      </c>
      <c r="T14" s="350">
        <f t="shared" si="4"/>
        <v>34.599999999999994</v>
      </c>
      <c r="U14" s="350">
        <f t="shared" si="4"/>
        <v>41.5</v>
      </c>
      <c r="V14" s="350">
        <f t="shared" si="4"/>
        <v>45.800000000000004</v>
      </c>
      <c r="W14" s="350">
        <f t="shared" si="4"/>
        <v>70.2</v>
      </c>
      <c r="X14" s="350">
        <f t="shared" si="4"/>
        <v>67</v>
      </c>
      <c r="Y14" s="350">
        <f t="shared" si="4"/>
        <v>43.5</v>
      </c>
      <c r="Z14" s="350">
        <f t="shared" si="4"/>
        <v>59.000000000000007</v>
      </c>
      <c r="AA14" s="350">
        <f t="shared" si="4"/>
        <v>71.3</v>
      </c>
      <c r="AB14" s="350">
        <f t="shared" si="4"/>
        <v>56.8</v>
      </c>
      <c r="AC14" s="350">
        <f t="shared" si="4"/>
        <v>60.515000000000008</v>
      </c>
      <c r="AD14" s="350">
        <f t="shared" si="4"/>
        <v>67</v>
      </c>
      <c r="AE14" s="350">
        <f t="shared" si="4"/>
        <v>64.010000000000005</v>
      </c>
      <c r="AF14" s="350">
        <f t="shared" si="4"/>
        <v>49.92</v>
      </c>
      <c r="AG14" s="350">
        <f t="shared" si="4"/>
        <v>53.400000000000006</v>
      </c>
      <c r="AH14" s="350">
        <f t="shared" si="4"/>
        <v>62</v>
      </c>
      <c r="AI14" s="350">
        <f t="shared" si="4"/>
        <v>58.369000000000007</v>
      </c>
      <c r="AJ14" s="350">
        <f t="shared" si="4"/>
        <v>82</v>
      </c>
      <c r="AK14" s="350">
        <f t="shared" si="4"/>
        <v>77</v>
      </c>
      <c r="AL14" s="350">
        <f t="shared" si="4"/>
        <v>82.5</v>
      </c>
      <c r="AM14" s="350">
        <f t="shared" si="4"/>
        <v>87</v>
      </c>
      <c r="AN14" s="350">
        <f t="shared" si="4"/>
        <v>87</v>
      </c>
      <c r="AO14" s="350">
        <f t="shared" si="4"/>
        <v>70</v>
      </c>
      <c r="AP14" s="350">
        <f t="shared" si="4"/>
        <v>84.899999999999991</v>
      </c>
      <c r="AQ14" s="350">
        <f t="shared" si="4"/>
        <v>87.5</v>
      </c>
      <c r="AR14" s="350">
        <f t="shared" si="4"/>
        <v>64</v>
      </c>
      <c r="AS14" s="350">
        <f t="shared" si="4"/>
        <v>87</v>
      </c>
      <c r="AT14" s="350">
        <f t="shared" si="4"/>
        <v>67</v>
      </c>
      <c r="AU14" s="350">
        <f t="shared" si="4"/>
        <v>70</v>
      </c>
      <c r="AV14" s="350">
        <f t="shared" si="4"/>
        <v>53</v>
      </c>
      <c r="AW14" s="350">
        <f t="shared" si="4"/>
        <v>47</v>
      </c>
      <c r="AX14" s="350">
        <f t="shared" si="4"/>
        <v>46</v>
      </c>
      <c r="AY14" s="350">
        <f t="shared" si="4"/>
        <v>64</v>
      </c>
      <c r="AZ14" s="350">
        <f t="shared" si="4"/>
        <v>51</v>
      </c>
      <c r="BA14" s="350">
        <f t="shared" si="4"/>
        <v>63</v>
      </c>
      <c r="BB14" s="350">
        <f t="shared" si="4"/>
        <v>67</v>
      </c>
      <c r="BC14" s="350">
        <f t="shared" si="4"/>
        <v>77.400000000000006</v>
      </c>
      <c r="BD14" s="350">
        <f t="shared" si="4"/>
        <v>60.800000000000004</v>
      </c>
      <c r="BE14" s="350">
        <f t="shared" si="4"/>
        <v>66.599999999999994</v>
      </c>
      <c r="BF14" s="350">
        <f t="shared" si="4"/>
        <v>80.899999999999991</v>
      </c>
      <c r="BG14" s="350">
        <f t="shared" si="4"/>
        <v>113</v>
      </c>
      <c r="BH14" s="350">
        <f t="shared" si="4"/>
        <v>108</v>
      </c>
      <c r="BI14" s="350">
        <f t="shared" si="4"/>
        <v>112.5</v>
      </c>
      <c r="BJ14" s="350">
        <f t="shared" si="4"/>
        <v>145.739</v>
      </c>
      <c r="BK14" s="350">
        <f t="shared" si="4"/>
        <v>140.48999999999998</v>
      </c>
      <c r="BL14" s="350">
        <f t="shared" si="4"/>
        <v>127.11999999999999</v>
      </c>
      <c r="BM14" s="350">
        <f t="shared" si="4"/>
        <v>136.21</v>
      </c>
      <c r="BN14" s="350">
        <f t="shared" si="4"/>
        <v>146.16</v>
      </c>
      <c r="BO14" s="350">
        <f t="shared" si="4"/>
        <v>147.10000000000002</v>
      </c>
      <c r="BP14" s="350">
        <f t="shared" ref="BP14:CD14" si="5">SUM(BP12:BP13)</f>
        <v>124.24999999999999</v>
      </c>
      <c r="BQ14" s="350">
        <f t="shared" si="5"/>
        <v>124.82</v>
      </c>
      <c r="BR14" s="350">
        <f t="shared" si="5"/>
        <v>153.05799999999999</v>
      </c>
      <c r="BS14" s="350">
        <f t="shared" si="5"/>
        <v>154.91873544000001</v>
      </c>
      <c r="BT14" s="350">
        <f t="shared" si="5"/>
        <v>121.24024983000001</v>
      </c>
      <c r="BU14" s="350">
        <f t="shared" si="5"/>
        <v>143.25298323999999</v>
      </c>
      <c r="BV14" s="350">
        <f t="shared" si="5"/>
        <v>142.51482533999999</v>
      </c>
      <c r="BW14" s="350">
        <f t="shared" si="5"/>
        <v>143.87462197999992</v>
      </c>
      <c r="BX14" s="350">
        <f t="shared" si="5"/>
        <v>134.15429894000002</v>
      </c>
      <c r="BY14" s="350">
        <f t="shared" si="5"/>
        <v>158.59741951000001</v>
      </c>
      <c r="BZ14" s="350">
        <f t="shared" si="5"/>
        <v>153.88693996000001</v>
      </c>
      <c r="CA14" s="350">
        <f t="shared" si="5"/>
        <v>340.50900475892843</v>
      </c>
      <c r="CB14" s="350">
        <f t="shared" si="5"/>
        <v>340.61274856339071</v>
      </c>
      <c r="CC14" s="350">
        <f t="shared" si="5"/>
        <v>370.67640935339205</v>
      </c>
      <c r="CD14" s="350">
        <f t="shared" si="5"/>
        <v>405.43928420428801</v>
      </c>
      <c r="CE14" s="350">
        <f>SUM(CE12:CE13)</f>
        <v>685.93918689556403</v>
      </c>
      <c r="CF14" s="351">
        <f>SUM(CF12:CF13)</f>
        <v>462.39440177669201</v>
      </c>
      <c r="CG14" s="244"/>
      <c r="CH14" s="500"/>
      <c r="CI14" s="457"/>
      <c r="CJ14" s="457"/>
      <c r="CK14" s="457"/>
      <c r="CL14" s="457"/>
      <c r="CM14" s="457"/>
      <c r="CN14" s="457"/>
      <c r="CO14" s="457"/>
      <c r="CP14" s="457"/>
      <c r="CQ14" s="457"/>
    </row>
    <row r="15" spans="1:95" x14ac:dyDescent="0.2">
      <c r="A15" s="43"/>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6"/>
      <c r="AD15" s="46"/>
      <c r="AE15" s="46"/>
      <c r="AF15" s="46"/>
      <c r="AG15" s="46"/>
      <c r="AH15" s="46"/>
      <c r="AI15" s="46"/>
      <c r="AJ15" s="45"/>
      <c r="AK15" s="47"/>
      <c r="AL15" s="45"/>
      <c r="AM15" s="46"/>
      <c r="AN15" s="45"/>
      <c r="AO15" s="45"/>
      <c r="AP15" s="45"/>
      <c r="AQ15" s="45"/>
      <c r="AR15" s="45"/>
      <c r="AS15" s="47"/>
      <c r="AT15" s="46"/>
      <c r="AU15" s="46"/>
      <c r="AV15" s="45"/>
      <c r="AW15" s="45"/>
      <c r="AX15" s="45"/>
      <c r="AY15" s="45"/>
      <c r="AZ15" s="45"/>
      <c r="BA15" s="45"/>
      <c r="BB15" s="45"/>
      <c r="BC15" s="45"/>
      <c r="BD15" s="45"/>
      <c r="BE15" s="45"/>
      <c r="BF15" s="45"/>
      <c r="BG15" s="45"/>
      <c r="BH15" s="45"/>
      <c r="BI15" s="47"/>
      <c r="BJ15" s="45"/>
      <c r="BK15" s="45"/>
      <c r="BL15" s="45"/>
      <c r="BM15" s="45"/>
      <c r="BN15" s="45"/>
      <c r="BO15" s="45"/>
      <c r="BP15" s="47"/>
      <c r="BQ15" s="45"/>
      <c r="BR15" s="47"/>
      <c r="BS15" s="45"/>
      <c r="BT15" s="45"/>
      <c r="BU15" s="45"/>
      <c r="BV15" s="45"/>
      <c r="BW15" s="46"/>
      <c r="BX15" s="46"/>
      <c r="BY15" s="46"/>
      <c r="BZ15" s="45"/>
      <c r="CA15" s="45"/>
      <c r="CB15" s="45"/>
      <c r="CC15" s="293"/>
      <c r="CD15" s="293"/>
      <c r="CE15" s="293"/>
      <c r="CF15" s="270"/>
      <c r="CG15" s="244"/>
    </row>
    <row r="16" spans="1:95" x14ac:dyDescent="0.2">
      <c r="A16" s="237" t="s">
        <v>196</v>
      </c>
      <c r="B16" s="11"/>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9"/>
      <c r="AD16" s="29"/>
      <c r="AE16" s="29"/>
      <c r="AF16" s="29"/>
      <c r="AG16" s="29"/>
      <c r="AH16" s="29"/>
      <c r="AI16" s="29"/>
      <c r="AJ16" s="28"/>
      <c r="AK16" s="7"/>
      <c r="AL16" s="28"/>
      <c r="AM16" s="29"/>
      <c r="AN16" s="28"/>
      <c r="AO16" s="28"/>
      <c r="AP16" s="28"/>
      <c r="AQ16" s="28"/>
      <c r="AR16" s="28"/>
      <c r="AS16" s="7"/>
      <c r="AT16" s="29"/>
      <c r="AU16" s="29"/>
      <c r="AV16" s="28"/>
      <c r="AW16" s="28"/>
      <c r="AX16" s="28"/>
      <c r="AY16" s="28"/>
      <c r="AZ16" s="28"/>
      <c r="BA16" s="28"/>
      <c r="BB16" s="28"/>
      <c r="BC16" s="28"/>
      <c r="BD16" s="28"/>
      <c r="BE16" s="28"/>
      <c r="BF16" s="28"/>
      <c r="BG16" s="29"/>
      <c r="BH16" s="29"/>
      <c r="BI16" s="28"/>
      <c r="BJ16" s="32"/>
      <c r="BK16" s="32"/>
      <c r="BL16" s="32"/>
      <c r="BM16" s="32"/>
      <c r="BN16" s="28"/>
      <c r="BO16" s="28"/>
      <c r="BP16" s="7"/>
      <c r="BQ16" s="28"/>
      <c r="BR16" s="7"/>
      <c r="BS16" s="28"/>
      <c r="BT16" s="28"/>
      <c r="BU16" s="28"/>
      <c r="BV16" s="28"/>
      <c r="BW16" s="29"/>
      <c r="BX16" s="29"/>
      <c r="BY16" s="29"/>
      <c r="BZ16" s="28"/>
      <c r="CA16" s="28"/>
      <c r="CB16" s="28"/>
      <c r="CC16" s="291"/>
      <c r="CD16" s="291"/>
      <c r="CE16" s="291"/>
      <c r="CF16" s="380"/>
      <c r="CG16" s="244"/>
    </row>
    <row r="17" spans="1:95" s="425" customFormat="1" x14ac:dyDescent="0.2">
      <c r="A17" s="50" t="s">
        <v>197</v>
      </c>
      <c r="B17" s="51"/>
      <c r="C17" s="52">
        <v>0</v>
      </c>
      <c r="D17" s="52">
        <v>0</v>
      </c>
      <c r="E17" s="52">
        <v>0.4</v>
      </c>
      <c r="F17" s="52">
        <v>0.4</v>
      </c>
      <c r="G17" s="52">
        <v>0.4</v>
      </c>
      <c r="H17" s="52">
        <v>0.7</v>
      </c>
      <c r="I17" s="52">
        <v>0.5</v>
      </c>
      <c r="J17" s="52">
        <v>0.4</v>
      </c>
      <c r="K17" s="52">
        <v>0.3</v>
      </c>
      <c r="L17" s="52">
        <v>0.4</v>
      </c>
      <c r="M17" s="52">
        <v>0.6</v>
      </c>
      <c r="N17" s="52">
        <v>0.6</v>
      </c>
      <c r="O17" s="52">
        <v>1.1000000000000001</v>
      </c>
      <c r="P17" s="52">
        <v>2</v>
      </c>
      <c r="Q17" s="52">
        <v>1.5</v>
      </c>
      <c r="R17" s="52">
        <v>2.7</v>
      </c>
      <c r="S17" s="52">
        <v>7.6</v>
      </c>
      <c r="T17" s="52">
        <v>5.0999999999999996</v>
      </c>
      <c r="U17" s="52">
        <v>8.1</v>
      </c>
      <c r="V17" s="52">
        <v>12.3</v>
      </c>
      <c r="W17" s="52">
        <v>17.7</v>
      </c>
      <c r="X17" s="52">
        <v>12.5</v>
      </c>
      <c r="Y17" s="52">
        <v>5.9</v>
      </c>
      <c r="Z17" s="52">
        <v>8.6</v>
      </c>
      <c r="AA17" s="52">
        <v>13.1</v>
      </c>
      <c r="AB17" s="52">
        <v>17.2</v>
      </c>
      <c r="AC17" s="54">
        <v>19.355</v>
      </c>
      <c r="AD17" s="54">
        <v>19</v>
      </c>
      <c r="AE17" s="54">
        <v>12.1</v>
      </c>
      <c r="AF17" s="54">
        <v>14.1</v>
      </c>
      <c r="AG17" s="54">
        <v>8</v>
      </c>
      <c r="AH17" s="54">
        <v>7</v>
      </c>
      <c r="AI17" s="54">
        <v>7.1429999999999998</v>
      </c>
      <c r="AJ17" s="52">
        <v>11</v>
      </c>
      <c r="AK17" s="53">
        <v>13</v>
      </c>
      <c r="AL17" s="52">
        <v>17</v>
      </c>
      <c r="AM17" s="54">
        <v>20</v>
      </c>
      <c r="AN17" s="52">
        <v>22</v>
      </c>
      <c r="AO17" s="52">
        <v>18</v>
      </c>
      <c r="AP17" s="52">
        <v>21</v>
      </c>
      <c r="AQ17" s="52">
        <v>21</v>
      </c>
      <c r="AR17" s="52">
        <v>19</v>
      </c>
      <c r="AS17" s="53">
        <v>16</v>
      </c>
      <c r="AT17" s="54">
        <v>14</v>
      </c>
      <c r="AU17" s="54">
        <v>17</v>
      </c>
      <c r="AV17" s="52">
        <v>15</v>
      </c>
      <c r="AW17" s="52">
        <v>16</v>
      </c>
      <c r="AX17" s="52">
        <v>17</v>
      </c>
      <c r="AY17" s="52">
        <v>19</v>
      </c>
      <c r="AZ17" s="52">
        <v>20</v>
      </c>
      <c r="BA17" s="52">
        <v>22</v>
      </c>
      <c r="BB17" s="52">
        <v>22</v>
      </c>
      <c r="BC17" s="52">
        <v>24.5</v>
      </c>
      <c r="BD17" s="52">
        <v>27</v>
      </c>
      <c r="BE17" s="52">
        <v>30.9</v>
      </c>
      <c r="BF17" s="52">
        <v>31.3</v>
      </c>
      <c r="BG17" s="52">
        <v>40</v>
      </c>
      <c r="BH17" s="52">
        <v>44</v>
      </c>
      <c r="BI17" s="53">
        <v>37.799999999999997</v>
      </c>
      <c r="BJ17" s="52">
        <v>38.4</v>
      </c>
      <c r="BK17" s="52">
        <v>36.986008099999999</v>
      </c>
      <c r="BL17" s="52">
        <v>38.222673769999993</v>
      </c>
      <c r="BM17" s="52">
        <v>44.457138969999988</v>
      </c>
      <c r="BN17" s="52">
        <v>47.856236890000019</v>
      </c>
      <c r="BO17" s="52">
        <v>52.504774629999979</v>
      </c>
      <c r="BP17" s="53">
        <v>61.000177520000008</v>
      </c>
      <c r="BQ17" s="52">
        <v>61.76046780999998</v>
      </c>
      <c r="BR17" s="53">
        <v>64.38878907000003</v>
      </c>
      <c r="BS17" s="52">
        <v>72.066000000000003</v>
      </c>
      <c r="BT17" s="52">
        <v>74.429000000000002</v>
      </c>
      <c r="BU17" s="52">
        <v>80.760999999999996</v>
      </c>
      <c r="BV17" s="52">
        <v>73.662072210000005</v>
      </c>
      <c r="BW17" s="54">
        <v>71.698814510000005</v>
      </c>
      <c r="BX17" s="54">
        <v>82.616866770000001</v>
      </c>
      <c r="BY17" s="54">
        <v>86.310563090000002</v>
      </c>
      <c r="BZ17" s="52">
        <v>91.336806440000004</v>
      </c>
      <c r="CA17" s="52">
        <v>96.299049139999994</v>
      </c>
      <c r="CB17" s="52">
        <v>88.080370680000016</v>
      </c>
      <c r="CC17" s="294">
        <v>108.96144069</v>
      </c>
      <c r="CD17" s="294">
        <v>124.63542631</v>
      </c>
      <c r="CE17" s="294">
        <v>150.2406344100001</v>
      </c>
      <c r="CF17" s="381">
        <v>161.42906234999992</v>
      </c>
      <c r="CG17" s="244"/>
      <c r="CH17" s="511"/>
      <c r="CI17" s="512"/>
    </row>
    <row r="18" spans="1:95" x14ac:dyDescent="0.2">
      <c r="A18" s="43" t="s">
        <v>199</v>
      </c>
      <c r="B18" s="44"/>
      <c r="C18" s="45">
        <v>8.6999999999999993</v>
      </c>
      <c r="D18" s="45">
        <v>9.5</v>
      </c>
      <c r="E18" s="45">
        <v>12.5</v>
      </c>
      <c r="F18" s="45">
        <v>14.3</v>
      </c>
      <c r="G18" s="45">
        <v>14.2</v>
      </c>
      <c r="H18" s="45">
        <v>14</v>
      </c>
      <c r="I18" s="45">
        <v>13.5</v>
      </c>
      <c r="J18" s="45">
        <v>14</v>
      </c>
      <c r="K18" s="45">
        <v>12.9</v>
      </c>
      <c r="L18" s="45">
        <v>13.2</v>
      </c>
      <c r="M18" s="45">
        <v>13.1</v>
      </c>
      <c r="N18" s="45">
        <v>15</v>
      </c>
      <c r="O18" s="45">
        <v>17.8</v>
      </c>
      <c r="P18" s="45">
        <v>16</v>
      </c>
      <c r="Q18" s="45">
        <v>16.5</v>
      </c>
      <c r="R18" s="45">
        <v>18.3</v>
      </c>
      <c r="S18" s="45">
        <v>20.100000000000001</v>
      </c>
      <c r="T18" s="45">
        <v>23.1</v>
      </c>
      <c r="U18" s="45">
        <v>23.3</v>
      </c>
      <c r="V18" s="45">
        <v>26.5</v>
      </c>
      <c r="W18" s="45">
        <v>35.700000000000003</v>
      </c>
      <c r="X18" s="45">
        <v>44.8</v>
      </c>
      <c r="Y18" s="45">
        <v>45.5</v>
      </c>
      <c r="Z18" s="45">
        <v>54.7</v>
      </c>
      <c r="AA18" s="45">
        <v>63.4</v>
      </c>
      <c r="AB18" s="45">
        <v>72.7</v>
      </c>
      <c r="AC18" s="46">
        <v>78</v>
      </c>
      <c r="AD18" s="46">
        <v>88</v>
      </c>
      <c r="AE18" s="46">
        <v>96.8</v>
      </c>
      <c r="AF18" s="46">
        <v>103.4</v>
      </c>
      <c r="AG18" s="46">
        <v>108</v>
      </c>
      <c r="AH18" s="46">
        <v>86</v>
      </c>
      <c r="AI18" s="46">
        <v>47.9</v>
      </c>
      <c r="AJ18" s="45">
        <v>31</v>
      </c>
      <c r="AK18" s="47">
        <v>28</v>
      </c>
      <c r="AL18" s="45">
        <v>30</v>
      </c>
      <c r="AM18" s="46">
        <v>33</v>
      </c>
      <c r="AN18" s="45">
        <v>37</v>
      </c>
      <c r="AO18" s="45">
        <v>44</v>
      </c>
      <c r="AP18" s="45">
        <v>59</v>
      </c>
      <c r="AQ18" s="45">
        <v>72.484584999999996</v>
      </c>
      <c r="AR18" s="45">
        <v>83.222014000000001</v>
      </c>
      <c r="AS18" s="47">
        <v>91.016101000000006</v>
      </c>
      <c r="AT18" s="46">
        <v>88.977868000000001</v>
      </c>
      <c r="AU18" s="46">
        <v>79.046869999999998</v>
      </c>
      <c r="AV18" s="45">
        <v>76.095814000000004</v>
      </c>
      <c r="AW18" s="45">
        <v>74.692622999999998</v>
      </c>
      <c r="AX18" s="45">
        <v>63.853270999999999</v>
      </c>
      <c r="AY18" s="45">
        <v>56.377997999999998</v>
      </c>
      <c r="AZ18" s="45">
        <v>56.815778000000002</v>
      </c>
      <c r="BA18" s="45">
        <v>58.856254</v>
      </c>
      <c r="BB18" s="45">
        <v>61.070441000000002</v>
      </c>
      <c r="BC18" s="45">
        <v>58.438091</v>
      </c>
      <c r="BD18" s="45">
        <v>62.572008999999994</v>
      </c>
      <c r="BE18" s="45">
        <v>51.487964000000005</v>
      </c>
      <c r="BF18" s="45">
        <v>49.985872999999998</v>
      </c>
      <c r="BG18" s="45">
        <v>41.376773999999997</v>
      </c>
      <c r="BH18" s="45">
        <v>39.028587000000002</v>
      </c>
      <c r="BI18" s="47">
        <v>39.829250000000002</v>
      </c>
      <c r="BJ18" s="45">
        <v>42.900395000000003</v>
      </c>
      <c r="BK18" s="45">
        <v>44.41920468</v>
      </c>
      <c r="BL18" s="45">
        <v>42.500465219999988</v>
      </c>
      <c r="BM18" s="45">
        <v>42.738649359999997</v>
      </c>
      <c r="BN18" s="45">
        <v>47.535413770000012</v>
      </c>
      <c r="BO18" s="45">
        <v>45.610528750000007</v>
      </c>
      <c r="BP18" s="47">
        <v>46.984641030000006</v>
      </c>
      <c r="BQ18" s="45">
        <v>47.932726029999976</v>
      </c>
      <c r="BR18" s="47">
        <v>49.279801830000011</v>
      </c>
      <c r="BS18" s="45">
        <v>51.708376999999999</v>
      </c>
      <c r="BT18" s="45">
        <v>51.815316999999993</v>
      </c>
      <c r="BU18" s="45">
        <v>53.474505000000001</v>
      </c>
      <c r="BV18" s="45">
        <v>55.422927459999997</v>
      </c>
      <c r="BW18" s="46">
        <v>51.593082240000001</v>
      </c>
      <c r="BX18" s="46">
        <v>62.672278849999891</v>
      </c>
      <c r="BY18" s="46">
        <v>67.273087220000008</v>
      </c>
      <c r="BZ18" s="45">
        <v>71.062272879999995</v>
      </c>
      <c r="CA18" s="45">
        <v>81.524754839999986</v>
      </c>
      <c r="CB18" s="45">
        <v>93.229682489999988</v>
      </c>
      <c r="CC18" s="293">
        <v>94.203573289999994</v>
      </c>
      <c r="CD18" s="293">
        <v>94.844381960000007</v>
      </c>
      <c r="CE18" s="293">
        <v>98.286143690000031</v>
      </c>
      <c r="CF18" s="344">
        <v>105.27648003000002</v>
      </c>
      <c r="CG18" s="244"/>
    </row>
    <row r="19" spans="1:95" x14ac:dyDescent="0.2">
      <c r="A19" s="43" t="s">
        <v>100</v>
      </c>
      <c r="B19" s="44"/>
      <c r="C19" s="45">
        <v>-3.5</v>
      </c>
      <c r="D19" s="45">
        <v>-4</v>
      </c>
      <c r="E19" s="45">
        <v>-5.2</v>
      </c>
      <c r="F19" s="45">
        <v>-5</v>
      </c>
      <c r="G19" s="45">
        <v>-4.4000000000000004</v>
      </c>
      <c r="H19" s="45">
        <v>-4.4000000000000004</v>
      </c>
      <c r="I19" s="45">
        <v>-3.5</v>
      </c>
      <c r="J19" s="45">
        <v>-3.3</v>
      </c>
      <c r="K19" s="45">
        <v>-2.6720000000000002</v>
      </c>
      <c r="L19" s="45">
        <v>-2.5059999999999998</v>
      </c>
      <c r="M19" s="45">
        <v>-1.8900000000000001</v>
      </c>
      <c r="N19" s="45">
        <v>-1.99</v>
      </c>
      <c r="O19" s="45">
        <v>-2.4899999999999998</v>
      </c>
      <c r="P19" s="45">
        <v>-1.6519999999999999</v>
      </c>
      <c r="Q19" s="45">
        <v>-1.871</v>
      </c>
      <c r="R19" s="45">
        <v>-2.871</v>
      </c>
      <c r="S19" s="45">
        <v>-2.8</v>
      </c>
      <c r="T19" s="45">
        <v>-3.8220000000000001</v>
      </c>
      <c r="U19" s="45">
        <v>-2.8119999999999998</v>
      </c>
      <c r="V19" s="45">
        <v>-3.1119999999999997</v>
      </c>
      <c r="W19" s="45">
        <v>-5.55</v>
      </c>
      <c r="X19" s="45">
        <v>-8.9</v>
      </c>
      <c r="Y19" s="45">
        <v>-12.545</v>
      </c>
      <c r="Z19" s="45">
        <v>-17.861999999999998</v>
      </c>
      <c r="AA19" s="45">
        <v>-23.074999999999999</v>
      </c>
      <c r="AB19" s="45">
        <v>-29.475000000000001</v>
      </c>
      <c r="AC19" s="46">
        <v>-36.909045000000006</v>
      </c>
      <c r="AD19" s="46">
        <v>-40.936350000000004</v>
      </c>
      <c r="AE19" s="46">
        <v>-47.450001</v>
      </c>
      <c r="AF19" s="46">
        <v>-53.907379999999996</v>
      </c>
      <c r="AG19" s="46">
        <v>-60.458192799999999</v>
      </c>
      <c r="AH19" s="46">
        <v>-42.687289200000002</v>
      </c>
      <c r="AI19" s="46">
        <v>-14.817593</v>
      </c>
      <c r="AJ19" s="45">
        <v>-5.4228542800000001</v>
      </c>
      <c r="AK19" s="47">
        <v>-3.43337688</v>
      </c>
      <c r="AL19" s="45">
        <v>-2.44312686</v>
      </c>
      <c r="AM19" s="46">
        <v>-2.5</v>
      </c>
      <c r="AN19" s="45">
        <v>-4.1377740000000003</v>
      </c>
      <c r="AO19" s="45">
        <v>-6.7490734999999997</v>
      </c>
      <c r="AP19" s="45">
        <v>-10.75672552</v>
      </c>
      <c r="AQ19" s="45">
        <v>-15.439</v>
      </c>
      <c r="AR19" s="45">
        <v>-22.189</v>
      </c>
      <c r="AS19" s="47">
        <v>-30.012010029999999</v>
      </c>
      <c r="AT19" s="46">
        <v>-28.671770989999999</v>
      </c>
      <c r="AU19" s="46">
        <v>-22.91</v>
      </c>
      <c r="AV19" s="45">
        <v>-20.45</v>
      </c>
      <c r="AW19" s="45">
        <v>-21.584876520000002</v>
      </c>
      <c r="AX19" s="45">
        <v>-18.409058529999999</v>
      </c>
      <c r="AY19" s="45">
        <v>-13.907</v>
      </c>
      <c r="AZ19" s="45">
        <v>-14.475</v>
      </c>
      <c r="BA19" s="45">
        <v>-15.186360000000001</v>
      </c>
      <c r="BB19" s="45">
        <v>-14.178072999999999</v>
      </c>
      <c r="BC19" s="45">
        <v>-14.5</v>
      </c>
      <c r="BD19" s="45">
        <v>-16</v>
      </c>
      <c r="BE19" s="45">
        <v>-12.12</v>
      </c>
      <c r="BF19" s="45">
        <v>-12.3</v>
      </c>
      <c r="BG19" s="45">
        <v>-5.5650000000000004</v>
      </c>
      <c r="BH19" s="45">
        <v>-10.419</v>
      </c>
      <c r="BI19" s="47">
        <v>-18.914000000000001</v>
      </c>
      <c r="BJ19" s="45">
        <v>-20.353999999999999</v>
      </c>
      <c r="BK19" s="45">
        <v>-21.552365279999997</v>
      </c>
      <c r="BL19" s="45">
        <v>-23.857705790000001</v>
      </c>
      <c r="BM19" s="45">
        <v>-26.003809560000001</v>
      </c>
      <c r="BN19" s="45">
        <v>-25.501287760000007</v>
      </c>
      <c r="BO19" s="45">
        <v>-24.91267856</v>
      </c>
      <c r="BP19" s="47">
        <v>-27.369087209999989</v>
      </c>
      <c r="BQ19" s="45">
        <v>-29.042621059999998</v>
      </c>
      <c r="BR19" s="47">
        <v>-29.099865310000009</v>
      </c>
      <c r="BS19" s="45">
        <v>-29.035</v>
      </c>
      <c r="BT19" s="45">
        <v>-29.456</v>
      </c>
      <c r="BU19" s="45">
        <v>-28.978000000000002</v>
      </c>
      <c r="BV19" s="45">
        <v>-34.393190689999798</v>
      </c>
      <c r="BW19" s="46">
        <v>-21.316934539999998</v>
      </c>
      <c r="BX19" s="46">
        <v>-20.692108480000002</v>
      </c>
      <c r="BY19" s="46">
        <v>-22.523740750000009</v>
      </c>
      <c r="BZ19" s="45">
        <v>-22.734577829999999</v>
      </c>
      <c r="CA19" s="45">
        <v>-17.852391769999993</v>
      </c>
      <c r="CB19" s="45">
        <v>-19.80888113</v>
      </c>
      <c r="CC19" s="293">
        <v>-20.596647310000002</v>
      </c>
      <c r="CD19" s="293">
        <v>-22.228322510000002</v>
      </c>
      <c r="CE19" s="293">
        <v>-21.895422609999997</v>
      </c>
      <c r="CF19" s="344">
        <v>-25.28231165</v>
      </c>
      <c r="CG19" s="244"/>
    </row>
    <row r="20" spans="1:95" s="425" customFormat="1" x14ac:dyDescent="0.2">
      <c r="A20" s="50" t="s">
        <v>27</v>
      </c>
      <c r="B20" s="51"/>
      <c r="C20" s="52">
        <f t="shared" ref="C20:AH20" si="6">SUM(C18:C19)</f>
        <v>5.1999999999999993</v>
      </c>
      <c r="D20" s="52">
        <f t="shared" si="6"/>
        <v>5.5</v>
      </c>
      <c r="E20" s="52">
        <f t="shared" si="6"/>
        <v>7.3</v>
      </c>
      <c r="F20" s="52">
        <f t="shared" si="6"/>
        <v>9.3000000000000007</v>
      </c>
      <c r="G20" s="52">
        <f t="shared" si="6"/>
        <v>9.7999999999999989</v>
      </c>
      <c r="H20" s="52">
        <f t="shared" si="6"/>
        <v>9.6</v>
      </c>
      <c r="I20" s="52">
        <f t="shared" si="6"/>
        <v>10</v>
      </c>
      <c r="J20" s="52">
        <f t="shared" si="6"/>
        <v>10.7</v>
      </c>
      <c r="K20" s="52">
        <f t="shared" si="6"/>
        <v>10.228</v>
      </c>
      <c r="L20" s="52">
        <f t="shared" si="6"/>
        <v>10.693999999999999</v>
      </c>
      <c r="M20" s="52">
        <f t="shared" si="6"/>
        <v>11.209999999999999</v>
      </c>
      <c r="N20" s="52">
        <f t="shared" si="6"/>
        <v>13.01</v>
      </c>
      <c r="O20" s="52">
        <f t="shared" si="6"/>
        <v>15.31</v>
      </c>
      <c r="P20" s="52">
        <f t="shared" si="6"/>
        <v>14.348000000000001</v>
      </c>
      <c r="Q20" s="52">
        <f t="shared" si="6"/>
        <v>14.629</v>
      </c>
      <c r="R20" s="52">
        <f t="shared" si="6"/>
        <v>15.429</v>
      </c>
      <c r="S20" s="52">
        <f t="shared" si="6"/>
        <v>17.3</v>
      </c>
      <c r="T20" s="52">
        <f t="shared" si="6"/>
        <v>19.278000000000002</v>
      </c>
      <c r="U20" s="52">
        <f t="shared" si="6"/>
        <v>20.488</v>
      </c>
      <c r="V20" s="52">
        <f t="shared" si="6"/>
        <v>23.388000000000002</v>
      </c>
      <c r="W20" s="52">
        <f t="shared" si="6"/>
        <v>30.150000000000002</v>
      </c>
      <c r="X20" s="52">
        <f t="shared" si="6"/>
        <v>35.9</v>
      </c>
      <c r="Y20" s="52">
        <f t="shared" si="6"/>
        <v>32.954999999999998</v>
      </c>
      <c r="Z20" s="52">
        <f t="shared" si="6"/>
        <v>36.838000000000008</v>
      </c>
      <c r="AA20" s="52">
        <f t="shared" si="6"/>
        <v>40.325000000000003</v>
      </c>
      <c r="AB20" s="52">
        <f t="shared" si="6"/>
        <v>43.225000000000001</v>
      </c>
      <c r="AC20" s="54">
        <f t="shared" si="6"/>
        <v>41.090954999999994</v>
      </c>
      <c r="AD20" s="54">
        <f t="shared" si="6"/>
        <v>47.063649999999996</v>
      </c>
      <c r="AE20" s="54">
        <f t="shared" si="6"/>
        <v>49.349998999999997</v>
      </c>
      <c r="AF20" s="54">
        <f t="shared" si="6"/>
        <v>49.492620000000009</v>
      </c>
      <c r="AG20" s="54">
        <f t="shared" si="6"/>
        <v>47.541807200000001</v>
      </c>
      <c r="AH20" s="54">
        <f t="shared" si="6"/>
        <v>43.312710799999998</v>
      </c>
      <c r="AI20" s="54">
        <f t="shared" ref="AI20:AP20" si="7">SUM(AI18:AI19)</f>
        <v>33.082406999999996</v>
      </c>
      <c r="AJ20" s="52">
        <f t="shared" si="7"/>
        <v>25.577145720000001</v>
      </c>
      <c r="AK20" s="54">
        <f t="shared" si="7"/>
        <v>24.566623119999999</v>
      </c>
      <c r="AL20" s="52">
        <f t="shared" si="7"/>
        <v>27.55687314</v>
      </c>
      <c r="AM20" s="54">
        <f t="shared" si="7"/>
        <v>30.5</v>
      </c>
      <c r="AN20" s="52">
        <f t="shared" si="7"/>
        <v>32.862226</v>
      </c>
      <c r="AO20" s="52">
        <f t="shared" si="7"/>
        <v>37.250926499999998</v>
      </c>
      <c r="AP20" s="52">
        <f t="shared" si="7"/>
        <v>48.243274479999997</v>
      </c>
      <c r="AQ20" s="52">
        <f t="shared" ref="AQ20:BY20" si="8">AQ18+AQ19</f>
        <v>57.045584999999996</v>
      </c>
      <c r="AR20" s="52">
        <f t="shared" si="8"/>
        <v>61.033014000000001</v>
      </c>
      <c r="AS20" s="52">
        <f t="shared" si="8"/>
        <v>61.004090970000007</v>
      </c>
      <c r="AT20" s="52">
        <f t="shared" si="8"/>
        <v>60.306097010000002</v>
      </c>
      <c r="AU20" s="52">
        <f t="shared" si="8"/>
        <v>56.136870000000002</v>
      </c>
      <c r="AV20" s="52">
        <f t="shared" si="8"/>
        <v>55.645814000000001</v>
      </c>
      <c r="AW20" s="52">
        <f t="shared" si="8"/>
        <v>53.107746479999996</v>
      </c>
      <c r="AX20" s="52">
        <f t="shared" si="8"/>
        <v>45.444212469999997</v>
      </c>
      <c r="AY20" s="52">
        <f t="shared" si="8"/>
        <v>42.470997999999994</v>
      </c>
      <c r="AZ20" s="52">
        <f t="shared" si="8"/>
        <v>42.340778</v>
      </c>
      <c r="BA20" s="52">
        <f t="shared" si="8"/>
        <v>43.669893999999999</v>
      </c>
      <c r="BB20" s="52">
        <f t="shared" si="8"/>
        <v>46.892368000000005</v>
      </c>
      <c r="BC20" s="52">
        <f t="shared" si="8"/>
        <v>43.938091</v>
      </c>
      <c r="BD20" s="52">
        <f t="shared" si="8"/>
        <v>46.572008999999994</v>
      </c>
      <c r="BE20" s="52">
        <f t="shared" si="8"/>
        <v>39.367964000000008</v>
      </c>
      <c r="BF20" s="52">
        <f t="shared" si="8"/>
        <v>37.685873000000001</v>
      </c>
      <c r="BG20" s="52">
        <f t="shared" si="8"/>
        <v>35.811774</v>
      </c>
      <c r="BH20" s="52">
        <f t="shared" si="8"/>
        <v>28.609587000000001</v>
      </c>
      <c r="BI20" s="52">
        <f t="shared" si="8"/>
        <v>20.91525</v>
      </c>
      <c r="BJ20" s="52">
        <f t="shared" si="8"/>
        <v>22.546395000000004</v>
      </c>
      <c r="BK20" s="52">
        <f t="shared" si="8"/>
        <v>22.866839400000003</v>
      </c>
      <c r="BL20" s="52">
        <f t="shared" si="8"/>
        <v>18.642759429999987</v>
      </c>
      <c r="BM20" s="52">
        <f t="shared" si="8"/>
        <v>16.734839799999996</v>
      </c>
      <c r="BN20" s="52">
        <f t="shared" si="8"/>
        <v>22.034126010000005</v>
      </c>
      <c r="BO20" s="52">
        <f t="shared" si="8"/>
        <v>20.697850190000008</v>
      </c>
      <c r="BP20" s="52">
        <f t="shared" si="8"/>
        <v>19.615553820000017</v>
      </c>
      <c r="BQ20" s="52">
        <f t="shared" si="8"/>
        <v>18.890104969999978</v>
      </c>
      <c r="BR20" s="52">
        <f t="shared" si="8"/>
        <v>20.179936520000002</v>
      </c>
      <c r="BS20" s="52">
        <f t="shared" si="8"/>
        <v>22.673376999999999</v>
      </c>
      <c r="BT20" s="52">
        <f t="shared" si="8"/>
        <v>22.359316999999994</v>
      </c>
      <c r="BU20" s="52">
        <f t="shared" si="8"/>
        <v>24.496504999999999</v>
      </c>
      <c r="BV20" s="52">
        <f t="shared" si="8"/>
        <v>21.029736770000198</v>
      </c>
      <c r="BW20" s="52">
        <f>BW18+BW19</f>
        <v>30.276147700000003</v>
      </c>
      <c r="BX20" s="52">
        <f t="shared" si="8"/>
        <v>41.98017036999989</v>
      </c>
      <c r="BY20" s="52">
        <f t="shared" si="8"/>
        <v>44.749346469999999</v>
      </c>
      <c r="BZ20" s="52">
        <f t="shared" ref="BZ20:CE20" si="9">BZ18+BZ19</f>
        <v>48.327695049999996</v>
      </c>
      <c r="CA20" s="52">
        <f t="shared" si="9"/>
        <v>63.672363069999989</v>
      </c>
      <c r="CB20" s="52">
        <f t="shared" si="9"/>
        <v>73.420801359999984</v>
      </c>
      <c r="CC20" s="294">
        <f t="shared" si="9"/>
        <v>73.60692598</v>
      </c>
      <c r="CD20" s="294">
        <f t="shared" si="9"/>
        <v>72.616059450000009</v>
      </c>
      <c r="CE20" s="294">
        <f t="shared" si="9"/>
        <v>76.390721080000034</v>
      </c>
      <c r="CF20" s="371">
        <f>CF18+CF19</f>
        <v>79.994168380000019</v>
      </c>
      <c r="CG20" s="244"/>
      <c r="CH20" s="511"/>
      <c r="CI20" s="512"/>
    </row>
    <row r="21" spans="1:95" x14ac:dyDescent="0.2">
      <c r="A21" s="43" t="s">
        <v>116</v>
      </c>
      <c r="B21" s="44"/>
      <c r="C21" s="45" t="s">
        <v>35</v>
      </c>
      <c r="D21" s="45" t="s">
        <v>35</v>
      </c>
      <c r="E21" s="45" t="s">
        <v>35</v>
      </c>
      <c r="F21" s="45" t="s">
        <v>35</v>
      </c>
      <c r="G21" s="45" t="s">
        <v>35</v>
      </c>
      <c r="H21" s="45" t="s">
        <v>35</v>
      </c>
      <c r="I21" s="45" t="s">
        <v>35</v>
      </c>
      <c r="J21" s="45" t="s">
        <v>35</v>
      </c>
      <c r="K21" s="45" t="s">
        <v>35</v>
      </c>
      <c r="L21" s="45" t="s">
        <v>35</v>
      </c>
      <c r="M21" s="45" t="s">
        <v>35</v>
      </c>
      <c r="N21" s="45" t="s">
        <v>35</v>
      </c>
      <c r="O21" s="45" t="s">
        <v>35</v>
      </c>
      <c r="P21" s="45" t="s">
        <v>35</v>
      </c>
      <c r="Q21" s="45" t="s">
        <v>35</v>
      </c>
      <c r="R21" s="45" t="s">
        <v>35</v>
      </c>
      <c r="S21" s="45" t="s">
        <v>35</v>
      </c>
      <c r="T21" s="45" t="s">
        <v>35</v>
      </c>
      <c r="U21" s="45" t="s">
        <v>35</v>
      </c>
      <c r="V21" s="45" t="s">
        <v>35</v>
      </c>
      <c r="W21" s="45" t="s">
        <v>35</v>
      </c>
      <c r="X21" s="45" t="s">
        <v>35</v>
      </c>
      <c r="Y21" s="45" t="s">
        <v>35</v>
      </c>
      <c r="Z21" s="45" t="s">
        <v>35</v>
      </c>
      <c r="AA21" s="45" t="s">
        <v>35</v>
      </c>
      <c r="AB21" s="45" t="s">
        <v>35</v>
      </c>
      <c r="AC21" s="45" t="s">
        <v>35</v>
      </c>
      <c r="AD21" s="45" t="s">
        <v>35</v>
      </c>
      <c r="AE21" s="45" t="s">
        <v>35</v>
      </c>
      <c r="AF21" s="45" t="s">
        <v>35</v>
      </c>
      <c r="AG21" s="45" t="s">
        <v>35</v>
      </c>
      <c r="AH21" s="45" t="s">
        <v>35</v>
      </c>
      <c r="AI21" s="45" t="s">
        <v>35</v>
      </c>
      <c r="AJ21" s="45" t="s">
        <v>35</v>
      </c>
      <c r="AK21" s="45" t="s">
        <v>35</v>
      </c>
      <c r="AL21" s="45" t="s">
        <v>35</v>
      </c>
      <c r="AM21" s="45" t="s">
        <v>35</v>
      </c>
      <c r="AN21" s="45" t="s">
        <v>35</v>
      </c>
      <c r="AO21" s="45" t="s">
        <v>35</v>
      </c>
      <c r="AP21" s="45" t="s">
        <v>35</v>
      </c>
      <c r="AQ21" s="45" t="s">
        <v>35</v>
      </c>
      <c r="AR21" s="45" t="s">
        <v>35</v>
      </c>
      <c r="AS21" s="45" t="s">
        <v>35</v>
      </c>
      <c r="AT21" s="45" t="s">
        <v>35</v>
      </c>
      <c r="AU21" s="45" t="s">
        <v>35</v>
      </c>
      <c r="AV21" s="45" t="s">
        <v>35</v>
      </c>
      <c r="AW21" s="45" t="s">
        <v>35</v>
      </c>
      <c r="AX21" s="45" t="s">
        <v>35</v>
      </c>
      <c r="AY21" s="45" t="s">
        <v>35</v>
      </c>
      <c r="AZ21" s="45" t="s">
        <v>35</v>
      </c>
      <c r="BA21" s="45" t="s">
        <v>35</v>
      </c>
      <c r="BB21" s="45" t="s">
        <v>35</v>
      </c>
      <c r="BC21" s="45" t="s">
        <v>35</v>
      </c>
      <c r="BD21" s="45" t="s">
        <v>35</v>
      </c>
      <c r="BE21" s="45" t="s">
        <v>35</v>
      </c>
      <c r="BF21" s="45" t="s">
        <v>35</v>
      </c>
      <c r="BG21" s="45" t="s">
        <v>35</v>
      </c>
      <c r="BH21" s="45" t="s">
        <v>35</v>
      </c>
      <c r="BI21" s="45" t="s">
        <v>35</v>
      </c>
      <c r="BJ21" s="45" t="s">
        <v>35</v>
      </c>
      <c r="BK21" s="45">
        <v>12.24</v>
      </c>
      <c r="BL21" s="45">
        <v>14.34</v>
      </c>
      <c r="BM21" s="45">
        <v>13.53</v>
      </c>
      <c r="BN21" s="45">
        <v>12.46</v>
      </c>
      <c r="BO21" s="45">
        <v>12.3</v>
      </c>
      <c r="BP21" s="47">
        <v>14.66</v>
      </c>
      <c r="BQ21" s="45">
        <v>14.82</v>
      </c>
      <c r="BR21" s="47">
        <v>13.85</v>
      </c>
      <c r="BS21" s="45">
        <v>17.177508000000003</v>
      </c>
      <c r="BT21" s="45">
        <v>15.223740500000002</v>
      </c>
      <c r="BU21" s="45">
        <v>15.858198009999999</v>
      </c>
      <c r="BV21" s="45">
        <v>18.222881999999998</v>
      </c>
      <c r="BW21" s="46">
        <v>18.958449000000002</v>
      </c>
      <c r="BX21" s="46">
        <v>18.125577679999999</v>
      </c>
      <c r="BY21" s="46">
        <v>20.41184299</v>
      </c>
      <c r="BZ21" s="45">
        <v>18.791653010000001</v>
      </c>
      <c r="CA21" s="45">
        <v>29.34068899</v>
      </c>
      <c r="CB21" s="45">
        <v>25.880500990000002</v>
      </c>
      <c r="CC21" s="293">
        <v>24.264915989999999</v>
      </c>
      <c r="CD21" s="293">
        <v>23.11874001</v>
      </c>
      <c r="CE21" s="293">
        <v>31.896339019999999</v>
      </c>
      <c r="CF21" s="121">
        <v>31.67903900000001</v>
      </c>
      <c r="CG21" s="244"/>
    </row>
    <row r="22" spans="1:95" x14ac:dyDescent="0.2">
      <c r="A22" s="43" t="s">
        <v>117</v>
      </c>
      <c r="B22" s="405"/>
      <c r="C22" s="37" t="s">
        <v>50</v>
      </c>
      <c r="D22" s="37" t="s">
        <v>50</v>
      </c>
      <c r="E22" s="37" t="s">
        <v>50</v>
      </c>
      <c r="F22" s="37" t="s">
        <v>50</v>
      </c>
      <c r="G22" s="37" t="s">
        <v>50</v>
      </c>
      <c r="H22" s="37" t="s">
        <v>50</v>
      </c>
      <c r="I22" s="37" t="s">
        <v>50</v>
      </c>
      <c r="J22" s="37" t="s">
        <v>50</v>
      </c>
      <c r="K22" s="37" t="s">
        <v>50</v>
      </c>
      <c r="L22" s="37" t="s">
        <v>50</v>
      </c>
      <c r="M22" s="37" t="s">
        <v>50</v>
      </c>
      <c r="N22" s="37" t="s">
        <v>50</v>
      </c>
      <c r="O22" s="37" t="s">
        <v>50</v>
      </c>
      <c r="P22" s="37" t="s">
        <v>50</v>
      </c>
      <c r="Q22" s="37" t="s">
        <v>50</v>
      </c>
      <c r="R22" s="37" t="s">
        <v>50</v>
      </c>
      <c r="S22" s="37" t="s">
        <v>50</v>
      </c>
      <c r="T22" s="37" t="s">
        <v>50</v>
      </c>
      <c r="U22" s="37" t="s">
        <v>50</v>
      </c>
      <c r="V22" s="37" t="s">
        <v>50</v>
      </c>
      <c r="W22" s="37" t="s">
        <v>50</v>
      </c>
      <c r="X22" s="37" t="s">
        <v>50</v>
      </c>
      <c r="Y22" s="37" t="s">
        <v>50</v>
      </c>
      <c r="Z22" s="37" t="s">
        <v>50</v>
      </c>
      <c r="AA22" s="37" t="s">
        <v>50</v>
      </c>
      <c r="AB22" s="37" t="s">
        <v>50</v>
      </c>
      <c r="AC22" s="37" t="s">
        <v>50</v>
      </c>
      <c r="AD22" s="37" t="s">
        <v>50</v>
      </c>
      <c r="AE22" s="37" t="s">
        <v>50</v>
      </c>
      <c r="AF22" s="37" t="s">
        <v>50</v>
      </c>
      <c r="AG22" s="37" t="s">
        <v>50</v>
      </c>
      <c r="AH22" s="37" t="s">
        <v>50</v>
      </c>
      <c r="AI22" s="37" t="s">
        <v>50</v>
      </c>
      <c r="AJ22" s="37" t="s">
        <v>50</v>
      </c>
      <c r="AK22" s="37" t="s">
        <v>50</v>
      </c>
      <c r="AL22" s="37" t="s">
        <v>50</v>
      </c>
      <c r="AM22" s="37" t="s">
        <v>50</v>
      </c>
      <c r="AN22" s="37" t="s">
        <v>50</v>
      </c>
      <c r="AO22" s="37" t="s">
        <v>50</v>
      </c>
      <c r="AP22" s="37" t="s">
        <v>50</v>
      </c>
      <c r="AQ22" s="37" t="s">
        <v>50</v>
      </c>
      <c r="AR22" s="37" t="s">
        <v>50</v>
      </c>
      <c r="AS22" s="37" t="s">
        <v>50</v>
      </c>
      <c r="AT22" s="37" t="s">
        <v>50</v>
      </c>
      <c r="AU22" s="37" t="s">
        <v>50</v>
      </c>
      <c r="AV22" s="37" t="s">
        <v>50</v>
      </c>
      <c r="AW22" s="37" t="s">
        <v>50</v>
      </c>
      <c r="AX22" s="37" t="s">
        <v>50</v>
      </c>
      <c r="AY22" s="37" t="s">
        <v>50</v>
      </c>
      <c r="AZ22" s="37" t="s">
        <v>50</v>
      </c>
      <c r="BA22" s="37" t="s">
        <v>50</v>
      </c>
      <c r="BB22" s="37" t="s">
        <v>50</v>
      </c>
      <c r="BC22" s="37" t="s">
        <v>50</v>
      </c>
      <c r="BD22" s="37" t="s">
        <v>50</v>
      </c>
      <c r="BE22" s="37" t="s">
        <v>50</v>
      </c>
      <c r="BF22" s="37" t="s">
        <v>50</v>
      </c>
      <c r="BG22" s="37" t="s">
        <v>50</v>
      </c>
      <c r="BH22" s="37" t="s">
        <v>50</v>
      </c>
      <c r="BI22" s="37" t="s">
        <v>50</v>
      </c>
      <c r="BJ22" s="37" t="s">
        <v>50</v>
      </c>
      <c r="BK22" s="45">
        <v>3.78</v>
      </c>
      <c r="BL22" s="45">
        <v>15.55</v>
      </c>
      <c r="BM22" s="45">
        <v>0.88</v>
      </c>
      <c r="BN22" s="45">
        <v>10.64</v>
      </c>
      <c r="BO22" s="45">
        <v>8.0500000000000007</v>
      </c>
      <c r="BP22" s="47">
        <v>8.5500000000000007</v>
      </c>
      <c r="BQ22" s="45">
        <v>1.24</v>
      </c>
      <c r="BR22" s="47">
        <v>16.690000000000001</v>
      </c>
      <c r="BS22" s="45">
        <v>6.5757060000000003</v>
      </c>
      <c r="BT22" s="45">
        <v>8.0079470600000011</v>
      </c>
      <c r="BU22" s="45">
        <v>1.517128</v>
      </c>
      <c r="BV22" s="45">
        <v>7.4969950000000001</v>
      </c>
      <c r="BW22" s="46">
        <v>4.4291239999999998</v>
      </c>
      <c r="BX22" s="46">
        <v>7.0262510000000002</v>
      </c>
      <c r="BY22" s="46">
        <v>3.106236</v>
      </c>
      <c r="BZ22" s="45">
        <v>12.725985</v>
      </c>
      <c r="CA22" s="45">
        <v>13.644941000000001</v>
      </c>
      <c r="CB22" s="45">
        <v>2.4972210000000001</v>
      </c>
      <c r="CC22" s="293">
        <v>3.154531</v>
      </c>
      <c r="CD22" s="293">
        <v>17.415866000000001</v>
      </c>
      <c r="CE22" s="293">
        <v>22.849661000000001</v>
      </c>
      <c r="CF22" s="121">
        <v>22.949107119999997</v>
      </c>
    </row>
    <row r="23" spans="1:95" x14ac:dyDescent="0.2">
      <c r="A23" s="43" t="s">
        <v>200</v>
      </c>
      <c r="B23" s="44"/>
      <c r="C23" s="37" t="s">
        <v>50</v>
      </c>
      <c r="D23" s="37" t="s">
        <v>50</v>
      </c>
      <c r="E23" s="37" t="s">
        <v>50</v>
      </c>
      <c r="F23" s="37" t="s">
        <v>50</v>
      </c>
      <c r="G23" s="37" t="s">
        <v>50</v>
      </c>
      <c r="H23" s="37" t="s">
        <v>50</v>
      </c>
      <c r="I23" s="37" t="s">
        <v>50</v>
      </c>
      <c r="J23" s="37" t="s">
        <v>50</v>
      </c>
      <c r="K23" s="37" t="s">
        <v>50</v>
      </c>
      <c r="L23" s="37" t="s">
        <v>50</v>
      </c>
      <c r="M23" s="37" t="s">
        <v>50</v>
      </c>
      <c r="N23" s="37" t="s">
        <v>50</v>
      </c>
      <c r="O23" s="37" t="s">
        <v>50</v>
      </c>
      <c r="P23" s="37" t="s">
        <v>50</v>
      </c>
      <c r="Q23" s="37" t="s">
        <v>50</v>
      </c>
      <c r="R23" s="37" t="s">
        <v>50</v>
      </c>
      <c r="S23" s="37" t="s">
        <v>50</v>
      </c>
      <c r="T23" s="37" t="s">
        <v>50</v>
      </c>
      <c r="U23" s="37" t="s">
        <v>50</v>
      </c>
      <c r="V23" s="37" t="s">
        <v>50</v>
      </c>
      <c r="W23" s="37" t="s">
        <v>50</v>
      </c>
      <c r="X23" s="37" t="s">
        <v>50</v>
      </c>
      <c r="Y23" s="37" t="s">
        <v>50</v>
      </c>
      <c r="Z23" s="37" t="s">
        <v>50</v>
      </c>
      <c r="AA23" s="37" t="s">
        <v>50</v>
      </c>
      <c r="AB23" s="37" t="s">
        <v>50</v>
      </c>
      <c r="AC23" s="37" t="s">
        <v>50</v>
      </c>
      <c r="AD23" s="37" t="s">
        <v>50</v>
      </c>
      <c r="AE23" s="37" t="s">
        <v>50</v>
      </c>
      <c r="AF23" s="37" t="s">
        <v>50</v>
      </c>
      <c r="AG23" s="37" t="s">
        <v>50</v>
      </c>
      <c r="AH23" s="37" t="s">
        <v>50</v>
      </c>
      <c r="AI23" s="37" t="s">
        <v>50</v>
      </c>
      <c r="AJ23" s="37" t="s">
        <v>50</v>
      </c>
      <c r="AK23" s="37" t="s">
        <v>50</v>
      </c>
      <c r="AL23" s="37" t="s">
        <v>50</v>
      </c>
      <c r="AM23" s="37" t="s">
        <v>50</v>
      </c>
      <c r="AN23" s="37" t="s">
        <v>50</v>
      </c>
      <c r="AO23" s="37" t="s">
        <v>50</v>
      </c>
      <c r="AP23" s="37" t="s">
        <v>50</v>
      </c>
      <c r="AQ23" s="37" t="s">
        <v>50</v>
      </c>
      <c r="AR23" s="37" t="s">
        <v>50</v>
      </c>
      <c r="AS23" s="37" t="s">
        <v>50</v>
      </c>
      <c r="AT23" s="37" t="s">
        <v>50</v>
      </c>
      <c r="AU23" s="37" t="s">
        <v>50</v>
      </c>
      <c r="AV23" s="37" t="s">
        <v>50</v>
      </c>
      <c r="AW23" s="37" t="s">
        <v>50</v>
      </c>
      <c r="AX23" s="37" t="s">
        <v>50</v>
      </c>
      <c r="AY23" s="37" t="s">
        <v>50</v>
      </c>
      <c r="AZ23" s="37" t="s">
        <v>50</v>
      </c>
      <c r="BA23" s="37" t="s">
        <v>50</v>
      </c>
      <c r="BB23" s="37" t="s">
        <v>50</v>
      </c>
      <c r="BC23" s="37" t="s">
        <v>50</v>
      </c>
      <c r="BD23" s="37" t="s">
        <v>50</v>
      </c>
      <c r="BE23" s="37" t="s">
        <v>50</v>
      </c>
      <c r="BF23" s="37" t="s">
        <v>50</v>
      </c>
      <c r="BG23" s="37" t="s">
        <v>50</v>
      </c>
      <c r="BH23" s="37" t="s">
        <v>50</v>
      </c>
      <c r="BI23" s="37" t="s">
        <v>50</v>
      </c>
      <c r="BJ23" s="37" t="s">
        <v>50</v>
      </c>
      <c r="BK23" s="45">
        <v>23.13807180000013</v>
      </c>
      <c r="BL23" s="45">
        <v>24.235449860000198</v>
      </c>
      <c r="BM23" s="45">
        <v>22.381599410000042</v>
      </c>
      <c r="BN23" s="45">
        <v>23.940070490000078</v>
      </c>
      <c r="BO23" s="45">
        <v>23.018685240000117</v>
      </c>
      <c r="BP23" s="47">
        <v>24.035680530000143</v>
      </c>
      <c r="BQ23" s="45">
        <v>19.733542920000026</v>
      </c>
      <c r="BR23" s="47">
        <v>26.409634740000048</v>
      </c>
      <c r="BS23" s="45">
        <v>22.960666080000113</v>
      </c>
      <c r="BT23" s="45">
        <v>27.101462459999997</v>
      </c>
      <c r="BU23" s="45">
        <v>22.089917559999996</v>
      </c>
      <c r="BV23" s="45">
        <v>29.050191490000053</v>
      </c>
      <c r="BW23" s="46">
        <v>27.680563720000023</v>
      </c>
      <c r="BX23" s="46">
        <v>27.837450420000057</v>
      </c>
      <c r="BY23" s="46">
        <v>26.132296030000024</v>
      </c>
      <c r="BZ23" s="45">
        <v>29.521008630000029</v>
      </c>
      <c r="CA23" s="45">
        <v>30.283375550000081</v>
      </c>
      <c r="CB23" s="45">
        <v>28.960850870000094</v>
      </c>
      <c r="CC23" s="45">
        <v>28.694921000000036</v>
      </c>
      <c r="CD23" s="45">
        <v>38.457406250000098</v>
      </c>
      <c r="CE23" s="45">
        <v>40.650859959999998</v>
      </c>
      <c r="CF23" s="121">
        <v>42.499655500000003</v>
      </c>
    </row>
    <row r="24" spans="1:95" x14ac:dyDescent="0.2">
      <c r="A24" s="43" t="s">
        <v>201</v>
      </c>
      <c r="B24" s="44"/>
      <c r="C24" s="37" t="s">
        <v>50</v>
      </c>
      <c r="D24" s="37" t="s">
        <v>50</v>
      </c>
      <c r="E24" s="37" t="s">
        <v>50</v>
      </c>
      <c r="F24" s="37" t="s">
        <v>50</v>
      </c>
      <c r="G24" s="37" t="s">
        <v>50</v>
      </c>
      <c r="H24" s="37" t="s">
        <v>50</v>
      </c>
      <c r="I24" s="37" t="s">
        <v>50</v>
      </c>
      <c r="J24" s="37" t="s">
        <v>50</v>
      </c>
      <c r="K24" s="37" t="s">
        <v>50</v>
      </c>
      <c r="L24" s="37" t="s">
        <v>50</v>
      </c>
      <c r="M24" s="37" t="s">
        <v>50</v>
      </c>
      <c r="N24" s="37" t="s">
        <v>50</v>
      </c>
      <c r="O24" s="37" t="s">
        <v>50</v>
      </c>
      <c r="P24" s="37" t="s">
        <v>50</v>
      </c>
      <c r="Q24" s="37" t="s">
        <v>50</v>
      </c>
      <c r="R24" s="37" t="s">
        <v>50</v>
      </c>
      <c r="S24" s="37" t="s">
        <v>50</v>
      </c>
      <c r="T24" s="37" t="s">
        <v>50</v>
      </c>
      <c r="U24" s="37" t="s">
        <v>50</v>
      </c>
      <c r="V24" s="37" t="s">
        <v>50</v>
      </c>
      <c r="W24" s="37" t="s">
        <v>50</v>
      </c>
      <c r="X24" s="37" t="s">
        <v>50</v>
      </c>
      <c r="Y24" s="37" t="s">
        <v>50</v>
      </c>
      <c r="Z24" s="37" t="s">
        <v>50</v>
      </c>
      <c r="AA24" s="37" t="s">
        <v>50</v>
      </c>
      <c r="AB24" s="37" t="s">
        <v>50</v>
      </c>
      <c r="AC24" s="37" t="s">
        <v>50</v>
      </c>
      <c r="AD24" s="37" t="s">
        <v>50</v>
      </c>
      <c r="AE24" s="37" t="s">
        <v>50</v>
      </c>
      <c r="AF24" s="37" t="s">
        <v>50</v>
      </c>
      <c r="AG24" s="37" t="s">
        <v>50</v>
      </c>
      <c r="AH24" s="37" t="s">
        <v>50</v>
      </c>
      <c r="AI24" s="37" t="s">
        <v>50</v>
      </c>
      <c r="AJ24" s="37" t="s">
        <v>50</v>
      </c>
      <c r="AK24" s="37" t="s">
        <v>50</v>
      </c>
      <c r="AL24" s="37" t="s">
        <v>50</v>
      </c>
      <c r="AM24" s="37" t="s">
        <v>50</v>
      </c>
      <c r="AN24" s="37" t="s">
        <v>50</v>
      </c>
      <c r="AO24" s="37" t="s">
        <v>50</v>
      </c>
      <c r="AP24" s="37" t="s">
        <v>50</v>
      </c>
      <c r="AQ24" s="37" t="s">
        <v>50</v>
      </c>
      <c r="AR24" s="37" t="s">
        <v>50</v>
      </c>
      <c r="AS24" s="37" t="s">
        <v>50</v>
      </c>
      <c r="AT24" s="37" t="s">
        <v>50</v>
      </c>
      <c r="AU24" s="37" t="s">
        <v>50</v>
      </c>
      <c r="AV24" s="37" t="s">
        <v>50</v>
      </c>
      <c r="AW24" s="37" t="s">
        <v>50</v>
      </c>
      <c r="AX24" s="37" t="s">
        <v>50</v>
      </c>
      <c r="AY24" s="37" t="s">
        <v>50</v>
      </c>
      <c r="AZ24" s="37" t="s">
        <v>50</v>
      </c>
      <c r="BA24" s="37" t="s">
        <v>50</v>
      </c>
      <c r="BB24" s="37" t="s">
        <v>50</v>
      </c>
      <c r="BC24" s="37" t="s">
        <v>50</v>
      </c>
      <c r="BD24" s="37" t="s">
        <v>50</v>
      </c>
      <c r="BE24" s="37" t="s">
        <v>50</v>
      </c>
      <c r="BF24" s="37" t="s">
        <v>50</v>
      </c>
      <c r="BG24" s="37" t="s">
        <v>50</v>
      </c>
      <c r="BH24" s="37" t="s">
        <v>50</v>
      </c>
      <c r="BI24" s="37" t="s">
        <v>50</v>
      </c>
      <c r="BJ24" s="37" t="s">
        <v>50</v>
      </c>
      <c r="BK24" s="45">
        <v>-15.785706359999999</v>
      </c>
      <c r="BL24" s="45">
        <v>-19.742791709999995</v>
      </c>
      <c r="BM24" s="45">
        <v>-15.745884740000001</v>
      </c>
      <c r="BN24" s="45">
        <v>-18.479202049999998</v>
      </c>
      <c r="BO24" s="45">
        <v>-19.156606260000004</v>
      </c>
      <c r="BP24" s="47">
        <v>-18.895907650000002</v>
      </c>
      <c r="BQ24" s="45">
        <v>-16.419344779999996</v>
      </c>
      <c r="BR24" s="47">
        <v>-24.208291469999992</v>
      </c>
      <c r="BS24" s="45">
        <v>-24.936545569999996</v>
      </c>
      <c r="BT24" s="45">
        <v>-24.614779459999998</v>
      </c>
      <c r="BU24" s="45">
        <v>-21.074422559999995</v>
      </c>
      <c r="BV24" s="45">
        <v>-27.230622879999995</v>
      </c>
      <c r="BW24" s="46">
        <v>-29.168797497323744</v>
      </c>
      <c r="BX24" s="46">
        <v>-27.581929378222632</v>
      </c>
      <c r="BY24" s="46">
        <v>-26.057710626424864</v>
      </c>
      <c r="BZ24" s="45">
        <v>-26.834882198028751</v>
      </c>
      <c r="CA24" s="45">
        <v>-31.803628312843646</v>
      </c>
      <c r="CB24" s="45">
        <v>-35.639629780346397</v>
      </c>
      <c r="CC24" s="45">
        <v>-35.054422369513439</v>
      </c>
      <c r="CD24" s="45">
        <v>-40.216650539999989</v>
      </c>
      <c r="CE24" s="45">
        <v>-50.575678973191927</v>
      </c>
      <c r="CF24" s="121">
        <v>-47.60199886319171</v>
      </c>
    </row>
    <row r="25" spans="1:95" s="426" customFormat="1" ht="15" x14ac:dyDescent="0.2">
      <c r="A25" s="366" t="s">
        <v>215</v>
      </c>
      <c r="B25" s="349"/>
      <c r="C25" s="367">
        <v>-0.10000000000000142</v>
      </c>
      <c r="D25" s="367">
        <v>2.1000000000000014</v>
      </c>
      <c r="E25" s="367">
        <v>5.6999999999999984</v>
      </c>
      <c r="F25" s="367">
        <v>1.7000000000000028</v>
      </c>
      <c r="G25" s="367">
        <v>1.3000000000000007</v>
      </c>
      <c r="H25" s="367">
        <v>1.2000000000000011</v>
      </c>
      <c r="I25" s="367">
        <v>1.3999999999999986</v>
      </c>
      <c r="J25" s="367">
        <v>1.2000000000000028</v>
      </c>
      <c r="K25" s="367">
        <v>1.8000000000000007</v>
      </c>
      <c r="L25" s="367">
        <v>2.4000000000000021</v>
      </c>
      <c r="M25" s="367">
        <v>2.3999999999999986</v>
      </c>
      <c r="N25" s="367">
        <v>3.6999999999999957</v>
      </c>
      <c r="O25" s="367">
        <v>2.1000000000000014</v>
      </c>
      <c r="P25" s="367">
        <v>5.9000000000000021</v>
      </c>
      <c r="Q25" s="367">
        <v>3.3999999999999986</v>
      </c>
      <c r="R25" s="367">
        <v>6.0999999999999943</v>
      </c>
      <c r="S25" s="367">
        <v>3.6000000000000014</v>
      </c>
      <c r="T25" s="367">
        <v>4.8000000000000043</v>
      </c>
      <c r="U25" s="367">
        <v>3.6999999999999957</v>
      </c>
      <c r="V25" s="367">
        <v>1.1999999999999957</v>
      </c>
      <c r="W25" s="367">
        <v>5.1999999999999886</v>
      </c>
      <c r="X25" s="367">
        <v>9.2000000000000028</v>
      </c>
      <c r="Y25" s="367">
        <v>3.8999999999999986</v>
      </c>
      <c r="Z25" s="367">
        <v>11.999999999999993</v>
      </c>
      <c r="AA25" s="367">
        <v>10.400000000000006</v>
      </c>
      <c r="AB25" s="367">
        <v>20.900000000000006</v>
      </c>
      <c r="AC25" s="368">
        <v>9.4299999999999891</v>
      </c>
      <c r="AD25" s="368">
        <v>17.049999999999997</v>
      </c>
      <c r="AE25" s="368">
        <v>10.589999999999998</v>
      </c>
      <c r="AF25" s="368">
        <v>15.189999999999992</v>
      </c>
      <c r="AG25" s="368">
        <v>7.5999999999999943</v>
      </c>
      <c r="AH25" s="368">
        <v>11.2</v>
      </c>
      <c r="AI25" s="368">
        <v>8.6879999999999917</v>
      </c>
      <c r="AJ25" s="367">
        <v>12</v>
      </c>
      <c r="AK25" s="369">
        <v>12</v>
      </c>
      <c r="AL25" s="367">
        <v>16</v>
      </c>
      <c r="AM25" s="368">
        <v>15</v>
      </c>
      <c r="AN25" s="367">
        <v>17</v>
      </c>
      <c r="AO25" s="367">
        <v>11</v>
      </c>
      <c r="AP25" s="367">
        <v>20</v>
      </c>
      <c r="AQ25" s="367">
        <v>14.515415000000001</v>
      </c>
      <c r="AR25" s="367">
        <v>22.777985999999999</v>
      </c>
      <c r="AS25" s="369">
        <v>13.983899000000001</v>
      </c>
      <c r="AT25" s="368">
        <v>11.022131999999999</v>
      </c>
      <c r="AU25" s="368">
        <v>16.953130000000002</v>
      </c>
      <c r="AV25" s="367">
        <v>13.904185999999999</v>
      </c>
      <c r="AW25" s="367">
        <v>14.307376999999999</v>
      </c>
      <c r="AX25" s="367">
        <v>20.146729000000001</v>
      </c>
      <c r="AY25" s="367">
        <v>19.622002000000002</v>
      </c>
      <c r="AZ25" s="367">
        <v>18.184221999999998</v>
      </c>
      <c r="BA25" s="367">
        <v>16.143746</v>
      </c>
      <c r="BB25" s="367">
        <v>21.929559000000001</v>
      </c>
      <c r="BC25" s="367">
        <v>22.261908999999999</v>
      </c>
      <c r="BD25" s="367">
        <v>25.927990999999999</v>
      </c>
      <c r="BE25" s="367">
        <v>24.702036</v>
      </c>
      <c r="BF25" s="367">
        <v>38.014127000000002</v>
      </c>
      <c r="BG25" s="367">
        <v>29.823225999999998</v>
      </c>
      <c r="BH25" s="367">
        <v>44.671413000000001</v>
      </c>
      <c r="BI25" s="369">
        <v>29.970749999999999</v>
      </c>
      <c r="BJ25" s="367">
        <v>43.699605000000005</v>
      </c>
      <c r="BK25" s="367">
        <f>SUM(BK23:BK24)</f>
        <v>7.3523654400001313</v>
      </c>
      <c r="BL25" s="367">
        <f t="shared" ref="BL25:CC25" si="10">SUM(BL23:BL24)</f>
        <v>4.492658150000203</v>
      </c>
      <c r="BM25" s="367">
        <f t="shared" si="10"/>
        <v>6.6357146700000413</v>
      </c>
      <c r="BN25" s="367">
        <f t="shared" si="10"/>
        <v>5.4608684400000804</v>
      </c>
      <c r="BO25" s="367">
        <f t="shared" si="10"/>
        <v>3.8620789800001134</v>
      </c>
      <c r="BP25" s="367">
        <f t="shared" si="10"/>
        <v>5.139772880000141</v>
      </c>
      <c r="BQ25" s="367">
        <f t="shared" si="10"/>
        <v>3.3141981400000304</v>
      </c>
      <c r="BR25" s="367">
        <f t="shared" si="10"/>
        <v>2.2013432700000557</v>
      </c>
      <c r="BS25" s="367">
        <f t="shared" si="10"/>
        <v>-1.9758794899998833</v>
      </c>
      <c r="BT25" s="367">
        <f t="shared" si="10"/>
        <v>2.4866829999999993</v>
      </c>
      <c r="BU25" s="367">
        <f t="shared" si="10"/>
        <v>1.0154950000000014</v>
      </c>
      <c r="BV25" s="367">
        <f t="shared" si="10"/>
        <v>1.8195686100000579</v>
      </c>
      <c r="BW25" s="367">
        <f t="shared" si="10"/>
        <v>-1.4882337773237211</v>
      </c>
      <c r="BX25" s="367">
        <f t="shared" si="10"/>
        <v>0.25552104177742407</v>
      </c>
      <c r="BY25" s="367">
        <f t="shared" si="10"/>
        <v>7.4585403575159859E-2</v>
      </c>
      <c r="BZ25" s="367">
        <f t="shared" si="10"/>
        <v>2.6861264319712781</v>
      </c>
      <c r="CA25" s="367">
        <f t="shared" si="10"/>
        <v>-1.5202527628435654</v>
      </c>
      <c r="CB25" s="367">
        <f t="shared" si="10"/>
        <v>-6.6787789103463027</v>
      </c>
      <c r="CC25" s="367">
        <f t="shared" si="10"/>
        <v>-6.3595013695134028</v>
      </c>
      <c r="CD25" s="367">
        <f>SUM(CD23:CD24)</f>
        <v>-1.7592442899998915</v>
      </c>
      <c r="CE25" s="367">
        <f>SUM(CE23:CE24)</f>
        <v>-9.9248190131919287</v>
      </c>
      <c r="CF25" s="370">
        <f>SUM(CF23:CF24)</f>
        <v>-5.1023433631917072</v>
      </c>
      <c r="CG25" s="456"/>
      <c r="CH25" s="457"/>
      <c r="CI25" s="457"/>
      <c r="CJ25" s="457"/>
      <c r="CK25" s="457"/>
      <c r="CL25" s="457"/>
      <c r="CM25" s="457"/>
      <c r="CN25" s="457"/>
      <c r="CO25" s="457"/>
      <c r="CP25" s="457"/>
      <c r="CQ25" s="457"/>
    </row>
    <row r="26" spans="1:95" x14ac:dyDescent="0.2">
      <c r="A26" s="43" t="s">
        <v>28</v>
      </c>
      <c r="B26" s="44"/>
      <c r="C26" s="45">
        <v>0.4</v>
      </c>
      <c r="D26" s="45">
        <v>0.3</v>
      </c>
      <c r="E26" s="45">
        <v>0.5</v>
      </c>
      <c r="F26" s="45">
        <v>0.9</v>
      </c>
      <c r="G26" s="45">
        <v>0.4</v>
      </c>
      <c r="H26" s="45">
        <v>0.6</v>
      </c>
      <c r="I26" s="45">
        <v>3.2</v>
      </c>
      <c r="J26" s="45">
        <v>0.5</v>
      </c>
      <c r="K26" s="45">
        <v>0</v>
      </c>
      <c r="L26" s="45">
        <v>0.1</v>
      </c>
      <c r="M26" s="45">
        <v>0</v>
      </c>
      <c r="N26" s="45">
        <v>0.6</v>
      </c>
      <c r="O26" s="45">
        <v>0.3</v>
      </c>
      <c r="P26" s="45">
        <v>0.1</v>
      </c>
      <c r="Q26" s="45">
        <v>0.1</v>
      </c>
      <c r="R26" s="45">
        <v>0.3</v>
      </c>
      <c r="S26" s="45">
        <v>-0.2</v>
      </c>
      <c r="T26" s="45">
        <v>0.4</v>
      </c>
      <c r="U26" s="45">
        <v>0</v>
      </c>
      <c r="V26" s="45">
        <v>0.1</v>
      </c>
      <c r="W26" s="45">
        <v>0</v>
      </c>
      <c r="X26" s="45">
        <v>0.1</v>
      </c>
      <c r="Y26" s="45">
        <v>0.1</v>
      </c>
      <c r="Z26" s="45">
        <v>0.5</v>
      </c>
      <c r="AA26" s="45">
        <v>0.2</v>
      </c>
      <c r="AB26" s="45">
        <v>0.4</v>
      </c>
      <c r="AC26" s="46">
        <v>0.11899999999999999</v>
      </c>
      <c r="AD26" s="46">
        <v>0</v>
      </c>
      <c r="AE26" s="46">
        <v>0.3</v>
      </c>
      <c r="AF26" s="46">
        <v>1</v>
      </c>
      <c r="AG26" s="46">
        <v>0</v>
      </c>
      <c r="AH26" s="46">
        <v>0</v>
      </c>
      <c r="AI26" s="46">
        <v>0.4</v>
      </c>
      <c r="AJ26" s="45">
        <v>1</v>
      </c>
      <c r="AK26" s="47">
        <v>0</v>
      </c>
      <c r="AL26" s="45">
        <v>0</v>
      </c>
      <c r="AM26" s="46">
        <v>0</v>
      </c>
      <c r="AN26" s="45">
        <v>0</v>
      </c>
      <c r="AO26" s="45">
        <v>0</v>
      </c>
      <c r="AP26" s="45">
        <v>-9</v>
      </c>
      <c r="AQ26" s="45">
        <v>0</v>
      </c>
      <c r="AR26" s="45">
        <v>0</v>
      </c>
      <c r="AS26" s="47">
        <v>0</v>
      </c>
      <c r="AT26" s="46">
        <v>1</v>
      </c>
      <c r="AU26" s="46">
        <v>0</v>
      </c>
      <c r="AV26" s="45">
        <v>0</v>
      </c>
      <c r="AW26" s="45">
        <v>-8</v>
      </c>
      <c r="AX26" s="45">
        <v>0</v>
      </c>
      <c r="AY26" s="45">
        <v>0</v>
      </c>
      <c r="AZ26" s="45">
        <v>1</v>
      </c>
      <c r="BA26" s="45">
        <v>0</v>
      </c>
      <c r="BB26" s="45">
        <v>0</v>
      </c>
      <c r="BC26" s="45">
        <v>9.5182589999999984E-2</v>
      </c>
      <c r="BD26" s="45">
        <v>-1.5294400000000322E-2</v>
      </c>
      <c r="BE26" s="45">
        <v>4.4647600000000238E-2</v>
      </c>
      <c r="BF26" s="45">
        <v>3.910991000000013E-2</v>
      </c>
      <c r="BG26" s="45">
        <v>0.875</v>
      </c>
      <c r="BH26" s="45">
        <v>0.48499999999999999</v>
      </c>
      <c r="BI26" s="47">
        <v>0.13200000000000001</v>
      </c>
      <c r="BJ26" s="45">
        <v>7.0999999999999994E-2</v>
      </c>
      <c r="BK26" s="45">
        <v>0.39060632999999995</v>
      </c>
      <c r="BL26" s="45">
        <v>2.26439697</v>
      </c>
      <c r="BM26" s="45">
        <v>0.2402822700000006</v>
      </c>
      <c r="BN26" s="45">
        <v>0.5873824399999994</v>
      </c>
      <c r="BO26" s="45">
        <v>7.2023999999999689E-4</v>
      </c>
      <c r="BP26" s="47">
        <v>0.33491106000000004</v>
      </c>
      <c r="BQ26" s="45">
        <v>1.7770622999999997</v>
      </c>
      <c r="BR26" s="47">
        <v>0.37103209999999942</v>
      </c>
      <c r="BS26" s="45">
        <v>-0.12284312</v>
      </c>
      <c r="BT26" s="45">
        <v>-6.4065340000000026E-2</v>
      </c>
      <c r="BU26" s="45">
        <v>0.18887835000000033</v>
      </c>
      <c r="BV26" s="45">
        <v>2.0255885799999982</v>
      </c>
      <c r="BW26" s="46">
        <v>-0.15213499000000003</v>
      </c>
      <c r="BX26" s="46">
        <v>-5.9662080000000062E-2</v>
      </c>
      <c r="BY26" s="46">
        <v>-0.2272481499999999</v>
      </c>
      <c r="BZ26" s="45">
        <v>0.91185598000000023</v>
      </c>
      <c r="CA26" s="45">
        <v>-0.29098545000000009</v>
      </c>
      <c r="CB26" s="45">
        <v>1.8308895299999997</v>
      </c>
      <c r="CC26" s="45">
        <v>1.0953586900000001</v>
      </c>
      <c r="CD26" s="45">
        <v>64.549752889999993</v>
      </c>
      <c r="CE26" s="45">
        <v>-0.64464334000000012</v>
      </c>
      <c r="CF26" s="121">
        <v>0.22365033999999984</v>
      </c>
    </row>
    <row r="27" spans="1:95" x14ac:dyDescent="0.2">
      <c r="A27" s="43" t="s">
        <v>43</v>
      </c>
      <c r="B27" s="44"/>
      <c r="C27" s="45">
        <v>3</v>
      </c>
      <c r="D27" s="45">
        <v>0.2</v>
      </c>
      <c r="E27" s="45">
        <v>0.1</v>
      </c>
      <c r="F27" s="45">
        <v>0.2</v>
      </c>
      <c r="G27" s="45">
        <v>0.3</v>
      </c>
      <c r="H27" s="45">
        <v>0.3</v>
      </c>
      <c r="I27" s="45">
        <v>0</v>
      </c>
      <c r="J27" s="45">
        <v>0.3</v>
      </c>
      <c r="K27" s="45">
        <v>0.1</v>
      </c>
      <c r="L27" s="45">
        <v>2.4</v>
      </c>
      <c r="M27" s="45">
        <v>0</v>
      </c>
      <c r="N27" s="45">
        <v>0</v>
      </c>
      <c r="O27" s="45">
        <v>0.1</v>
      </c>
      <c r="P27" s="45">
        <v>0.2</v>
      </c>
      <c r="Q27" s="45">
        <v>0</v>
      </c>
      <c r="R27" s="45">
        <v>1.1000000000000001</v>
      </c>
      <c r="S27" s="45">
        <v>0.2</v>
      </c>
      <c r="T27" s="45">
        <v>1.7</v>
      </c>
      <c r="U27" s="45">
        <v>0.1</v>
      </c>
      <c r="V27" s="45">
        <v>0.5</v>
      </c>
      <c r="W27" s="45">
        <v>0.2</v>
      </c>
      <c r="X27" s="45">
        <v>0.5</v>
      </c>
      <c r="Y27" s="45">
        <v>0.2</v>
      </c>
      <c r="Z27" s="45">
        <v>0.7</v>
      </c>
      <c r="AA27" s="45">
        <v>0</v>
      </c>
      <c r="AB27" s="45">
        <v>0</v>
      </c>
      <c r="AC27" s="46">
        <v>0</v>
      </c>
      <c r="AD27" s="46">
        <v>0</v>
      </c>
      <c r="AE27" s="46">
        <v>0</v>
      </c>
      <c r="AF27" s="46">
        <v>0</v>
      </c>
      <c r="AG27" s="46">
        <v>0</v>
      </c>
      <c r="AH27" s="46">
        <v>0</v>
      </c>
      <c r="AI27" s="46">
        <v>0</v>
      </c>
      <c r="AJ27" s="45">
        <v>0</v>
      </c>
      <c r="AK27" s="47">
        <v>0</v>
      </c>
      <c r="AL27" s="45">
        <v>0</v>
      </c>
      <c r="AM27" s="46">
        <v>0</v>
      </c>
      <c r="AN27" s="45">
        <v>0</v>
      </c>
      <c r="AO27" s="45">
        <v>0</v>
      </c>
      <c r="AP27" s="45">
        <v>0</v>
      </c>
      <c r="AQ27" s="45">
        <v>0</v>
      </c>
      <c r="AR27" s="45">
        <v>2</v>
      </c>
      <c r="AS27" s="47">
        <v>1</v>
      </c>
      <c r="AT27" s="46">
        <v>1</v>
      </c>
      <c r="AU27" s="46">
        <v>1</v>
      </c>
      <c r="AV27" s="45">
        <v>1</v>
      </c>
      <c r="AW27" s="45">
        <v>0</v>
      </c>
      <c r="AX27" s="45">
        <v>0</v>
      </c>
      <c r="AY27" s="45">
        <v>0</v>
      </c>
      <c r="AZ27" s="45">
        <v>0</v>
      </c>
      <c r="BA27" s="45">
        <v>0</v>
      </c>
      <c r="BB27" s="45">
        <v>0</v>
      </c>
      <c r="BC27" s="45">
        <v>0</v>
      </c>
      <c r="BD27" s="45">
        <v>0</v>
      </c>
      <c r="BE27" s="45">
        <v>1.9E-2</v>
      </c>
      <c r="BF27" s="45">
        <v>0</v>
      </c>
      <c r="BG27" s="45">
        <v>0</v>
      </c>
      <c r="BH27" s="45">
        <v>0</v>
      </c>
      <c r="BI27" s="47">
        <v>0</v>
      </c>
      <c r="BJ27" s="45">
        <v>0</v>
      </c>
      <c r="BK27" s="45">
        <v>0</v>
      </c>
      <c r="BL27" s="45">
        <v>0</v>
      </c>
      <c r="BM27" s="45">
        <v>0</v>
      </c>
      <c r="BN27" s="45">
        <v>0</v>
      </c>
      <c r="BO27" s="45">
        <v>0</v>
      </c>
      <c r="BP27" s="47">
        <v>1.195426E-2</v>
      </c>
      <c r="BQ27" s="45">
        <v>5.5372999999999999E-2</v>
      </c>
      <c r="BR27" s="47">
        <v>5.3212000000000002E-2</v>
      </c>
      <c r="BS27" s="45">
        <v>0</v>
      </c>
      <c r="BT27" s="45">
        <v>0</v>
      </c>
      <c r="BU27" s="45">
        <v>0</v>
      </c>
      <c r="BV27" s="45">
        <v>0.14042399999999999</v>
      </c>
      <c r="BW27" s="46">
        <v>5.5500000000000001E-2</v>
      </c>
      <c r="BX27" s="46">
        <v>0</v>
      </c>
      <c r="BY27" s="46">
        <v>6.4456999999999952E-3</v>
      </c>
      <c r="BZ27" s="45">
        <v>1.9640000000000057E-3</v>
      </c>
      <c r="CA27" s="45">
        <v>0</v>
      </c>
      <c r="CB27" s="45">
        <v>0</v>
      </c>
      <c r="CC27" s="45">
        <v>0</v>
      </c>
      <c r="CD27" s="45">
        <v>6.5542400000000001E-2</v>
      </c>
      <c r="CE27" s="45">
        <v>0</v>
      </c>
      <c r="CF27" s="121">
        <v>0</v>
      </c>
    </row>
    <row r="28" spans="1:95" s="425" customFormat="1" x14ac:dyDescent="0.2">
      <c r="A28" s="50" t="s">
        <v>157</v>
      </c>
      <c r="B28" s="51"/>
      <c r="C28" s="294">
        <f>SUM(C21:C27)</f>
        <v>3.2999999999999985</v>
      </c>
      <c r="D28" s="294">
        <f t="shared" ref="D28:BI28" si="11">SUM(D21:D27)</f>
        <v>2.6000000000000014</v>
      </c>
      <c r="E28" s="294">
        <f t="shared" si="11"/>
        <v>6.299999999999998</v>
      </c>
      <c r="F28" s="294">
        <f t="shared" si="11"/>
        <v>2.8000000000000029</v>
      </c>
      <c r="G28" s="294">
        <f t="shared" si="11"/>
        <v>2.0000000000000004</v>
      </c>
      <c r="H28" s="294">
        <f t="shared" si="11"/>
        <v>2.100000000000001</v>
      </c>
      <c r="I28" s="294">
        <f t="shared" si="11"/>
        <v>4.5999999999999988</v>
      </c>
      <c r="J28" s="294">
        <f t="shared" si="11"/>
        <v>2.0000000000000027</v>
      </c>
      <c r="K28" s="294">
        <f t="shared" si="11"/>
        <v>1.9000000000000008</v>
      </c>
      <c r="L28" s="294">
        <f t="shared" si="11"/>
        <v>4.9000000000000021</v>
      </c>
      <c r="M28" s="294">
        <f t="shared" si="11"/>
        <v>2.3999999999999986</v>
      </c>
      <c r="N28" s="294">
        <f t="shared" si="11"/>
        <v>4.2999999999999954</v>
      </c>
      <c r="O28" s="294">
        <f t="shared" si="11"/>
        <v>2.5000000000000013</v>
      </c>
      <c r="P28" s="294">
        <f t="shared" si="11"/>
        <v>6.200000000000002</v>
      </c>
      <c r="Q28" s="294">
        <f t="shared" si="11"/>
        <v>3.4999999999999987</v>
      </c>
      <c r="R28" s="294">
        <f t="shared" si="11"/>
        <v>7.4999999999999947</v>
      </c>
      <c r="S28" s="294">
        <f t="shared" si="11"/>
        <v>3.6000000000000014</v>
      </c>
      <c r="T28" s="294">
        <f t="shared" si="11"/>
        <v>6.9000000000000048</v>
      </c>
      <c r="U28" s="294">
        <f t="shared" si="11"/>
        <v>3.7999999999999958</v>
      </c>
      <c r="V28" s="294">
        <f t="shared" si="11"/>
        <v>1.7999999999999958</v>
      </c>
      <c r="W28" s="294">
        <f t="shared" si="11"/>
        <v>5.3999999999999888</v>
      </c>
      <c r="X28" s="294">
        <f t="shared" si="11"/>
        <v>9.8000000000000025</v>
      </c>
      <c r="Y28" s="294">
        <f t="shared" si="11"/>
        <v>4.1999999999999984</v>
      </c>
      <c r="Z28" s="294">
        <f t="shared" si="11"/>
        <v>13.199999999999992</v>
      </c>
      <c r="AA28" s="294">
        <f t="shared" si="11"/>
        <v>10.600000000000005</v>
      </c>
      <c r="AB28" s="294">
        <f t="shared" si="11"/>
        <v>21.300000000000004</v>
      </c>
      <c r="AC28" s="294">
        <f t="shared" si="11"/>
        <v>9.5489999999999888</v>
      </c>
      <c r="AD28" s="294">
        <f t="shared" si="11"/>
        <v>17.049999999999997</v>
      </c>
      <c r="AE28" s="294">
        <f t="shared" si="11"/>
        <v>10.889999999999999</v>
      </c>
      <c r="AF28" s="294">
        <f t="shared" si="11"/>
        <v>16.189999999999991</v>
      </c>
      <c r="AG28" s="294">
        <f t="shared" si="11"/>
        <v>7.5999999999999943</v>
      </c>
      <c r="AH28" s="294">
        <f t="shared" si="11"/>
        <v>11.2</v>
      </c>
      <c r="AI28" s="294">
        <f t="shared" si="11"/>
        <v>9.0879999999999921</v>
      </c>
      <c r="AJ28" s="294">
        <f t="shared" si="11"/>
        <v>13</v>
      </c>
      <c r="AK28" s="294">
        <f t="shared" si="11"/>
        <v>12</v>
      </c>
      <c r="AL28" s="294">
        <f t="shared" si="11"/>
        <v>16</v>
      </c>
      <c r="AM28" s="294">
        <f t="shared" si="11"/>
        <v>15</v>
      </c>
      <c r="AN28" s="294">
        <f t="shared" si="11"/>
        <v>17</v>
      </c>
      <c r="AO28" s="294">
        <f t="shared" si="11"/>
        <v>11</v>
      </c>
      <c r="AP28" s="294">
        <f t="shared" si="11"/>
        <v>11</v>
      </c>
      <c r="AQ28" s="294">
        <f t="shared" si="11"/>
        <v>14.515415000000001</v>
      </c>
      <c r="AR28" s="294">
        <f t="shared" si="11"/>
        <v>24.777985999999999</v>
      </c>
      <c r="AS28" s="294">
        <f t="shared" si="11"/>
        <v>14.983899000000001</v>
      </c>
      <c r="AT28" s="294">
        <f t="shared" si="11"/>
        <v>13.022131999999999</v>
      </c>
      <c r="AU28" s="294">
        <f t="shared" si="11"/>
        <v>17.953130000000002</v>
      </c>
      <c r="AV28" s="294">
        <f t="shared" si="11"/>
        <v>14.904185999999999</v>
      </c>
      <c r="AW28" s="294">
        <f t="shared" si="11"/>
        <v>6.3073769999999989</v>
      </c>
      <c r="AX28" s="294">
        <f t="shared" si="11"/>
        <v>20.146729000000001</v>
      </c>
      <c r="AY28" s="294">
        <f t="shared" si="11"/>
        <v>19.622002000000002</v>
      </c>
      <c r="AZ28" s="294">
        <f t="shared" si="11"/>
        <v>19.184221999999998</v>
      </c>
      <c r="BA28" s="294">
        <f t="shared" si="11"/>
        <v>16.143746</v>
      </c>
      <c r="BB28" s="294">
        <f t="shared" si="11"/>
        <v>21.929559000000001</v>
      </c>
      <c r="BC28" s="294">
        <f t="shared" si="11"/>
        <v>22.35709159</v>
      </c>
      <c r="BD28" s="294">
        <f t="shared" si="11"/>
        <v>25.912696599999997</v>
      </c>
      <c r="BE28" s="294">
        <f t="shared" si="11"/>
        <v>24.765683599999999</v>
      </c>
      <c r="BF28" s="294">
        <f t="shared" si="11"/>
        <v>38.053236910000003</v>
      </c>
      <c r="BG28" s="294">
        <f t="shared" si="11"/>
        <v>30.698225999999998</v>
      </c>
      <c r="BH28" s="294">
        <f t="shared" si="11"/>
        <v>45.156413000000001</v>
      </c>
      <c r="BI28" s="294">
        <f t="shared" si="11"/>
        <v>30.10275</v>
      </c>
      <c r="BJ28" s="294">
        <f>SUM(BJ21:BJ27)</f>
        <v>43.770605000000003</v>
      </c>
      <c r="BK28" s="294">
        <f>BK21+BK22+BK23+BK26+BK27+BK24</f>
        <v>23.762971770000128</v>
      </c>
      <c r="BL28" s="294">
        <f t="shared" ref="BL28:BN28" si="12">BL21+BL22+BL23+BL26+BL27+BL24</f>
        <v>36.647055120000203</v>
      </c>
      <c r="BM28" s="294">
        <f t="shared" si="12"/>
        <v>21.285996940000047</v>
      </c>
      <c r="BN28" s="294">
        <f t="shared" si="12"/>
        <v>29.148250880000077</v>
      </c>
      <c r="BO28" s="294">
        <f t="shared" ref="BO28" si="13">BO21+BO22+BO23+BO26+BO27+BO24</f>
        <v>24.212799220000115</v>
      </c>
      <c r="BP28" s="294">
        <f t="shared" ref="BP28" si="14">BP21+BP22+BP23+BP26+BP27+BP24</f>
        <v>28.696638200000148</v>
      </c>
      <c r="BQ28" s="294">
        <f t="shared" ref="BQ28" si="15">BQ21+BQ22+BQ23+BQ26+BQ27+BQ24</f>
        <v>21.206633440000026</v>
      </c>
      <c r="BR28" s="294">
        <f t="shared" ref="BR28" si="16">BR21+BR22+BR23+BR26+BR27+BR24</f>
        <v>33.165587370000061</v>
      </c>
      <c r="BS28" s="294">
        <f t="shared" ref="BS28" si="17">BS21+BS22+BS23+BS26+BS27+BS24</f>
        <v>21.654491390000121</v>
      </c>
      <c r="BT28" s="294">
        <f t="shared" ref="BT28" si="18">BT21+BT22+BT23+BT26+BT27+BT24</f>
        <v>25.654305220000008</v>
      </c>
      <c r="BU28" s="294">
        <f t="shared" ref="BU28" si="19">BU21+BU22+BU23+BU26+BU27+BU24</f>
        <v>18.579699360000006</v>
      </c>
      <c r="BV28" s="294">
        <f t="shared" ref="BV28" si="20">BV21+BV22+BV23+BV26+BV27+BV24</f>
        <v>29.705458190000055</v>
      </c>
      <c r="BW28" s="294">
        <f t="shared" ref="BW28" si="21">BW21+BW22+BW23+BW26+BW27+BW24</f>
        <v>21.802704232676284</v>
      </c>
      <c r="BX28" s="294">
        <f t="shared" ref="BX28" si="22">BX21+BX22+BX23+BX26+BX27+BX24</f>
        <v>25.347687641777426</v>
      </c>
      <c r="BY28" s="294">
        <f t="shared" ref="BY28" si="23">BY21+BY22+BY23+BY26+BY27+BY24</f>
        <v>23.371861943575162</v>
      </c>
      <c r="BZ28" s="294">
        <f t="shared" ref="BZ28" si="24">BZ21+BZ22+BZ23+BZ26+BZ27+BZ24</f>
        <v>35.117584421971273</v>
      </c>
      <c r="CA28" s="294">
        <f t="shared" ref="CA28" si="25">CA21+CA22+CA23+CA26+CA27+CA24</f>
        <v>41.174391777156444</v>
      </c>
      <c r="CB28" s="294">
        <f t="shared" ref="CB28" si="26">CB21+CB22+CB23+CB26+CB27+CB24</f>
        <v>23.529832609653702</v>
      </c>
      <c r="CC28" s="294">
        <f t="shared" ref="CC28" si="27">CC21+CC22+CC23+CC26+CC27+CC24</f>
        <v>22.155304310486592</v>
      </c>
      <c r="CD28" s="294">
        <f t="shared" ref="CD28" si="28">CD21+CD22+CD23+CD26+CD27+CD24</f>
        <v>103.39065701000013</v>
      </c>
      <c r="CE28" s="294">
        <f>CE21+CE22+CE23+CE26+CE27+CE24</f>
        <v>44.176537666808059</v>
      </c>
      <c r="CF28" s="371">
        <f>CF21+CF22+CF23+CF26+CF27+CF24</f>
        <v>49.74945309680831</v>
      </c>
      <c r="CG28" s="454"/>
      <c r="CH28" s="511"/>
      <c r="CI28" s="512"/>
      <c r="CJ28" s="455"/>
      <c r="CK28" s="455"/>
      <c r="CL28" s="455"/>
      <c r="CM28" s="455"/>
      <c r="CN28" s="455"/>
      <c r="CO28" s="455"/>
      <c r="CP28" s="455"/>
      <c r="CQ28" s="455"/>
    </row>
    <row r="29" spans="1:95" s="426" customFormat="1" x14ac:dyDescent="0.2">
      <c r="A29" s="348" t="s">
        <v>198</v>
      </c>
      <c r="B29" s="349"/>
      <c r="C29" s="350">
        <f t="shared" ref="C29:BN29" si="29">C17+C20+C28</f>
        <v>8.4999999999999982</v>
      </c>
      <c r="D29" s="350">
        <f t="shared" si="29"/>
        <v>8.1000000000000014</v>
      </c>
      <c r="E29" s="350">
        <f t="shared" si="29"/>
        <v>13.999999999999998</v>
      </c>
      <c r="F29" s="350">
        <f t="shared" si="29"/>
        <v>12.500000000000004</v>
      </c>
      <c r="G29" s="350">
        <f t="shared" si="29"/>
        <v>12.2</v>
      </c>
      <c r="H29" s="350">
        <f t="shared" si="29"/>
        <v>12.4</v>
      </c>
      <c r="I29" s="350">
        <f t="shared" si="29"/>
        <v>15.099999999999998</v>
      </c>
      <c r="J29" s="350">
        <f t="shared" si="29"/>
        <v>13.100000000000001</v>
      </c>
      <c r="K29" s="350">
        <f t="shared" si="29"/>
        <v>12.428000000000001</v>
      </c>
      <c r="L29" s="350">
        <f t="shared" si="29"/>
        <v>15.994000000000002</v>
      </c>
      <c r="M29" s="350">
        <f t="shared" si="29"/>
        <v>14.209999999999997</v>
      </c>
      <c r="N29" s="350">
        <f t="shared" si="29"/>
        <v>17.909999999999997</v>
      </c>
      <c r="O29" s="350">
        <f t="shared" si="29"/>
        <v>18.91</v>
      </c>
      <c r="P29" s="350">
        <f t="shared" si="29"/>
        <v>22.548000000000002</v>
      </c>
      <c r="Q29" s="350">
        <f t="shared" si="29"/>
        <v>19.628999999999998</v>
      </c>
      <c r="R29" s="350">
        <f t="shared" si="29"/>
        <v>25.628999999999998</v>
      </c>
      <c r="S29" s="350">
        <f t="shared" si="29"/>
        <v>28.5</v>
      </c>
      <c r="T29" s="350">
        <f t="shared" si="29"/>
        <v>31.278000000000006</v>
      </c>
      <c r="U29" s="350">
        <f t="shared" si="29"/>
        <v>32.387999999999998</v>
      </c>
      <c r="V29" s="350">
        <f t="shared" si="29"/>
        <v>37.488</v>
      </c>
      <c r="W29" s="350">
        <f t="shared" si="29"/>
        <v>53.249999999999993</v>
      </c>
      <c r="X29" s="350">
        <f t="shared" si="29"/>
        <v>58.2</v>
      </c>
      <c r="Y29" s="350">
        <f t="shared" si="29"/>
        <v>43.054999999999993</v>
      </c>
      <c r="Z29" s="350">
        <f t="shared" si="29"/>
        <v>58.638000000000005</v>
      </c>
      <c r="AA29" s="350">
        <f t="shared" si="29"/>
        <v>64.025000000000006</v>
      </c>
      <c r="AB29" s="350">
        <f t="shared" si="29"/>
        <v>81.724999999999994</v>
      </c>
      <c r="AC29" s="350">
        <f t="shared" si="29"/>
        <v>69.99495499999999</v>
      </c>
      <c r="AD29" s="350">
        <f t="shared" si="29"/>
        <v>83.113649999999993</v>
      </c>
      <c r="AE29" s="350">
        <f t="shared" si="29"/>
        <v>72.339998999999992</v>
      </c>
      <c r="AF29" s="350">
        <f t="shared" si="29"/>
        <v>79.782620000000009</v>
      </c>
      <c r="AG29" s="350">
        <f t="shared" si="29"/>
        <v>63.141807199999995</v>
      </c>
      <c r="AH29" s="350">
        <f t="shared" si="29"/>
        <v>61.512710799999994</v>
      </c>
      <c r="AI29" s="350">
        <f t="shared" si="29"/>
        <v>49.313406999999991</v>
      </c>
      <c r="AJ29" s="350">
        <f t="shared" si="29"/>
        <v>49.577145720000004</v>
      </c>
      <c r="AK29" s="350">
        <f t="shared" si="29"/>
        <v>49.566623120000003</v>
      </c>
      <c r="AL29" s="350">
        <f t="shared" si="29"/>
        <v>60.55687314</v>
      </c>
      <c r="AM29" s="350">
        <f t="shared" si="29"/>
        <v>65.5</v>
      </c>
      <c r="AN29" s="350">
        <f t="shared" si="29"/>
        <v>71.862225999999993</v>
      </c>
      <c r="AO29" s="350">
        <f t="shared" si="29"/>
        <v>66.250926499999991</v>
      </c>
      <c r="AP29" s="350">
        <f t="shared" si="29"/>
        <v>80.243274479999997</v>
      </c>
      <c r="AQ29" s="350">
        <f t="shared" si="29"/>
        <v>92.560999999999993</v>
      </c>
      <c r="AR29" s="350">
        <f t="shared" si="29"/>
        <v>104.81100000000001</v>
      </c>
      <c r="AS29" s="350">
        <f t="shared" si="29"/>
        <v>91.987989970000001</v>
      </c>
      <c r="AT29" s="350">
        <f t="shared" si="29"/>
        <v>87.328229010000001</v>
      </c>
      <c r="AU29" s="350">
        <f t="shared" si="29"/>
        <v>91.09</v>
      </c>
      <c r="AV29" s="350">
        <f t="shared" si="29"/>
        <v>85.55</v>
      </c>
      <c r="AW29" s="350">
        <f t="shared" si="29"/>
        <v>75.415123480000005</v>
      </c>
      <c r="AX29" s="350">
        <f t="shared" si="29"/>
        <v>82.59094146999999</v>
      </c>
      <c r="AY29" s="350">
        <f t="shared" si="29"/>
        <v>81.092999999999989</v>
      </c>
      <c r="AZ29" s="350">
        <f t="shared" si="29"/>
        <v>81.525000000000006</v>
      </c>
      <c r="BA29" s="350">
        <f t="shared" si="29"/>
        <v>81.813639999999992</v>
      </c>
      <c r="BB29" s="350">
        <f t="shared" si="29"/>
        <v>90.821927000000002</v>
      </c>
      <c r="BC29" s="350">
        <f t="shared" si="29"/>
        <v>90.795182589999996</v>
      </c>
      <c r="BD29" s="350">
        <f t="shared" si="29"/>
        <v>99.484705599999984</v>
      </c>
      <c r="BE29" s="350">
        <f t="shared" si="29"/>
        <v>95.033647600000009</v>
      </c>
      <c r="BF29" s="350">
        <f t="shared" si="29"/>
        <v>107.03910991000001</v>
      </c>
      <c r="BG29" s="350">
        <f t="shared" si="29"/>
        <v>106.50999999999999</v>
      </c>
      <c r="BH29" s="350">
        <f t="shared" si="29"/>
        <v>117.76600000000001</v>
      </c>
      <c r="BI29" s="350">
        <f t="shared" si="29"/>
        <v>88.817999999999998</v>
      </c>
      <c r="BJ29" s="350">
        <f t="shared" si="29"/>
        <v>104.71700000000001</v>
      </c>
      <c r="BK29" s="350">
        <f t="shared" si="29"/>
        <v>83.615819270000131</v>
      </c>
      <c r="BL29" s="350">
        <f t="shared" si="29"/>
        <v>93.512488320000188</v>
      </c>
      <c r="BM29" s="350">
        <f t="shared" si="29"/>
        <v>82.477975710000038</v>
      </c>
      <c r="BN29" s="350">
        <f t="shared" si="29"/>
        <v>99.038613780000105</v>
      </c>
      <c r="BO29" s="350">
        <f t="shared" ref="BO29:CC29" si="30">BO17+BO20+BO28</f>
        <v>97.41542404000009</v>
      </c>
      <c r="BP29" s="350">
        <f t="shared" si="30"/>
        <v>109.31236954000018</v>
      </c>
      <c r="BQ29" s="350">
        <f t="shared" si="30"/>
        <v>101.85720621999999</v>
      </c>
      <c r="BR29" s="350">
        <f t="shared" si="30"/>
        <v>117.7343129600001</v>
      </c>
      <c r="BS29" s="350">
        <f t="shared" si="30"/>
        <v>116.39386839000012</v>
      </c>
      <c r="BT29" s="350">
        <f t="shared" si="30"/>
        <v>122.44262222</v>
      </c>
      <c r="BU29" s="350">
        <f t="shared" si="30"/>
        <v>123.83720436</v>
      </c>
      <c r="BV29" s="350">
        <f t="shared" si="30"/>
        <v>124.39726717000026</v>
      </c>
      <c r="BW29" s="350">
        <f t="shared" si="30"/>
        <v>123.77766644267629</v>
      </c>
      <c r="BX29" s="350">
        <f t="shared" si="30"/>
        <v>149.94472478177732</v>
      </c>
      <c r="BY29" s="350">
        <f t="shared" si="30"/>
        <v>154.43177150357516</v>
      </c>
      <c r="BZ29" s="350">
        <f t="shared" si="30"/>
        <v>174.78208591197125</v>
      </c>
      <c r="CA29" s="350">
        <f t="shared" si="30"/>
        <v>201.14580398715643</v>
      </c>
      <c r="CB29" s="350">
        <f t="shared" si="30"/>
        <v>185.03100464965371</v>
      </c>
      <c r="CC29" s="350">
        <f t="shared" si="30"/>
        <v>204.72367098048659</v>
      </c>
      <c r="CD29" s="350">
        <f>CD17+CD20+CD28</f>
        <v>300.64214277000013</v>
      </c>
      <c r="CE29" s="350">
        <f>CE17+CE20+CE28</f>
        <v>270.80789315680818</v>
      </c>
      <c r="CF29" s="351">
        <f>CF17+CF20+CF28</f>
        <v>291.17268382680822</v>
      </c>
      <c r="CG29" s="456"/>
      <c r="CH29" s="457"/>
      <c r="CI29" s="457"/>
      <c r="CJ29" s="457"/>
      <c r="CK29" s="457"/>
      <c r="CL29" s="457"/>
      <c r="CM29" s="457"/>
      <c r="CN29" s="457"/>
      <c r="CO29" s="457"/>
      <c r="CP29" s="457"/>
      <c r="CQ29" s="457"/>
    </row>
    <row r="30" spans="1:95" x14ac:dyDescent="0.2">
      <c r="A30" s="10"/>
      <c r="B30" s="1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7"/>
      <c r="AD30" s="29"/>
      <c r="AE30" s="29"/>
      <c r="AF30" s="29"/>
      <c r="AG30" s="29"/>
      <c r="AH30" s="29"/>
      <c r="AI30" s="29"/>
      <c r="AJ30" s="28"/>
      <c r="AK30" s="7"/>
      <c r="AL30" s="28"/>
      <c r="AM30" s="29"/>
      <c r="AN30" s="28"/>
      <c r="AO30" s="28"/>
      <c r="AP30" s="28"/>
      <c r="AQ30" s="28"/>
      <c r="AR30" s="28"/>
      <c r="AS30" s="7"/>
      <c r="AT30" s="29"/>
      <c r="AU30" s="7"/>
      <c r="AV30" s="28"/>
      <c r="AW30" s="28"/>
      <c r="AX30" s="28"/>
      <c r="AY30" s="28"/>
      <c r="AZ30" s="28"/>
      <c r="BA30" s="28"/>
      <c r="BB30" s="28"/>
      <c r="BC30" s="28"/>
      <c r="BD30" s="28"/>
      <c r="BE30" s="28"/>
      <c r="BF30" s="28"/>
      <c r="BG30" s="28"/>
      <c r="BH30" s="28"/>
      <c r="BI30" s="7"/>
      <c r="BJ30" s="28"/>
      <c r="BK30" s="28"/>
      <c r="BL30" s="28"/>
      <c r="BM30" s="28"/>
      <c r="BN30" s="28"/>
      <c r="BO30" s="28"/>
      <c r="BP30" s="7"/>
      <c r="BQ30" s="28"/>
      <c r="BR30" s="7"/>
      <c r="BS30" s="28"/>
      <c r="BT30" s="28"/>
      <c r="BU30" s="28"/>
      <c r="BV30" s="28"/>
      <c r="BW30" s="29"/>
      <c r="BX30" s="29"/>
      <c r="BY30" s="29"/>
      <c r="BZ30" s="28"/>
      <c r="CA30" s="28"/>
      <c r="CB30" s="28"/>
      <c r="CC30" s="291"/>
      <c r="CD30" s="291"/>
      <c r="CE30" s="291"/>
      <c r="CF30" s="352"/>
    </row>
    <row r="31" spans="1:95" s="425" customFormat="1" x14ac:dyDescent="0.2">
      <c r="A31" s="8" t="s">
        <v>91</v>
      </c>
      <c r="B31" s="9">
        <v>8.5</v>
      </c>
      <c r="C31" s="67">
        <f>C14+C29</f>
        <v>21.6</v>
      </c>
      <c r="D31" s="67">
        <f t="shared" ref="D31:BO31" si="31">D14+D29</f>
        <v>16.5</v>
      </c>
      <c r="E31" s="67">
        <f t="shared" si="31"/>
        <v>21.599999999999998</v>
      </c>
      <c r="F31" s="67">
        <f t="shared" si="31"/>
        <v>35.200000000000003</v>
      </c>
      <c r="G31" s="67">
        <f t="shared" si="31"/>
        <v>29.7</v>
      </c>
      <c r="H31" s="67">
        <f t="shared" si="31"/>
        <v>24.6</v>
      </c>
      <c r="I31" s="67">
        <f t="shared" si="31"/>
        <v>30.2</v>
      </c>
      <c r="J31" s="67">
        <f t="shared" si="31"/>
        <v>38.1</v>
      </c>
      <c r="K31" s="67">
        <f t="shared" si="31"/>
        <v>28.928000000000001</v>
      </c>
      <c r="L31" s="67">
        <f t="shared" si="31"/>
        <v>33.494</v>
      </c>
      <c r="M31" s="67">
        <f t="shared" si="31"/>
        <v>40.709999999999994</v>
      </c>
      <c r="N31" s="67">
        <f t="shared" si="31"/>
        <v>46.41</v>
      </c>
      <c r="O31" s="67">
        <f t="shared" si="31"/>
        <v>65.41</v>
      </c>
      <c r="P31" s="67">
        <f t="shared" si="31"/>
        <v>49.347999999999999</v>
      </c>
      <c r="Q31" s="67">
        <f t="shared" si="31"/>
        <v>40.329000000000001</v>
      </c>
      <c r="R31" s="67">
        <f t="shared" si="31"/>
        <v>54.728999999999999</v>
      </c>
      <c r="S31" s="67">
        <f t="shared" si="31"/>
        <v>60.8</v>
      </c>
      <c r="T31" s="67">
        <f t="shared" si="31"/>
        <v>65.878</v>
      </c>
      <c r="U31" s="67">
        <f t="shared" si="31"/>
        <v>73.888000000000005</v>
      </c>
      <c r="V31" s="67">
        <f t="shared" si="31"/>
        <v>83.288000000000011</v>
      </c>
      <c r="W31" s="67">
        <f t="shared" si="31"/>
        <v>123.44999999999999</v>
      </c>
      <c r="X31" s="67">
        <f t="shared" si="31"/>
        <v>125.2</v>
      </c>
      <c r="Y31" s="67">
        <f t="shared" si="31"/>
        <v>86.554999999999993</v>
      </c>
      <c r="Z31" s="67">
        <f t="shared" si="31"/>
        <v>117.63800000000001</v>
      </c>
      <c r="AA31" s="67">
        <f t="shared" si="31"/>
        <v>135.32499999999999</v>
      </c>
      <c r="AB31" s="67">
        <f t="shared" si="31"/>
        <v>138.52499999999998</v>
      </c>
      <c r="AC31" s="67">
        <f t="shared" si="31"/>
        <v>130.50995499999999</v>
      </c>
      <c r="AD31" s="67">
        <f t="shared" si="31"/>
        <v>150.11365000000001</v>
      </c>
      <c r="AE31" s="67">
        <f t="shared" si="31"/>
        <v>136.349999</v>
      </c>
      <c r="AF31" s="67">
        <f t="shared" si="31"/>
        <v>129.70262000000002</v>
      </c>
      <c r="AG31" s="67">
        <f t="shared" si="31"/>
        <v>116.54180719999999</v>
      </c>
      <c r="AH31" s="67">
        <f t="shared" si="31"/>
        <v>123.51271079999999</v>
      </c>
      <c r="AI31" s="67">
        <f t="shared" si="31"/>
        <v>107.682407</v>
      </c>
      <c r="AJ31" s="67">
        <f t="shared" si="31"/>
        <v>131.57714572</v>
      </c>
      <c r="AK31" s="67">
        <f t="shared" si="31"/>
        <v>126.56662312</v>
      </c>
      <c r="AL31" s="67">
        <f t="shared" si="31"/>
        <v>143.05687313999999</v>
      </c>
      <c r="AM31" s="67">
        <f t="shared" si="31"/>
        <v>152.5</v>
      </c>
      <c r="AN31" s="67">
        <f t="shared" si="31"/>
        <v>158.86222599999999</v>
      </c>
      <c r="AO31" s="67">
        <f t="shared" si="31"/>
        <v>136.25092649999999</v>
      </c>
      <c r="AP31" s="67">
        <f t="shared" si="31"/>
        <v>165.14327448</v>
      </c>
      <c r="AQ31" s="67">
        <f t="shared" si="31"/>
        <v>180.06099999999998</v>
      </c>
      <c r="AR31" s="67">
        <f t="shared" si="31"/>
        <v>168.81100000000001</v>
      </c>
      <c r="AS31" s="67">
        <f t="shared" si="31"/>
        <v>178.98798997</v>
      </c>
      <c r="AT31" s="67">
        <f t="shared" si="31"/>
        <v>154.32822901</v>
      </c>
      <c r="AU31" s="67">
        <f t="shared" si="31"/>
        <v>161.09</v>
      </c>
      <c r="AV31" s="67">
        <f t="shared" si="31"/>
        <v>138.55000000000001</v>
      </c>
      <c r="AW31" s="67">
        <f t="shared" si="31"/>
        <v>122.41512348000001</v>
      </c>
      <c r="AX31" s="67">
        <f t="shared" si="31"/>
        <v>128.59094146999999</v>
      </c>
      <c r="AY31" s="67">
        <f t="shared" si="31"/>
        <v>145.09299999999999</v>
      </c>
      <c r="AZ31" s="67">
        <f t="shared" si="31"/>
        <v>132.52500000000001</v>
      </c>
      <c r="BA31" s="67">
        <f t="shared" si="31"/>
        <v>144.81363999999999</v>
      </c>
      <c r="BB31" s="67">
        <f t="shared" si="31"/>
        <v>157.82192700000002</v>
      </c>
      <c r="BC31" s="67">
        <f t="shared" si="31"/>
        <v>168.19518259</v>
      </c>
      <c r="BD31" s="67">
        <f t="shared" si="31"/>
        <v>160.2847056</v>
      </c>
      <c r="BE31" s="67">
        <f t="shared" si="31"/>
        <v>161.63364760000002</v>
      </c>
      <c r="BF31" s="67">
        <f t="shared" si="31"/>
        <v>187.93910991000001</v>
      </c>
      <c r="BG31" s="67">
        <f t="shared" si="31"/>
        <v>219.51</v>
      </c>
      <c r="BH31" s="67">
        <f t="shared" si="31"/>
        <v>225.76600000000002</v>
      </c>
      <c r="BI31" s="67">
        <f t="shared" si="31"/>
        <v>201.31799999999998</v>
      </c>
      <c r="BJ31" s="67">
        <f t="shared" si="31"/>
        <v>250.45600000000002</v>
      </c>
      <c r="BK31" s="67">
        <f>BK14+BK29</f>
        <v>224.1058192700001</v>
      </c>
      <c r="BL31" s="67">
        <f t="shared" si="31"/>
        <v>220.63248832000016</v>
      </c>
      <c r="BM31" s="67">
        <f t="shared" si="31"/>
        <v>218.68797571000005</v>
      </c>
      <c r="BN31" s="67">
        <f t="shared" si="31"/>
        <v>245.1986137800001</v>
      </c>
      <c r="BO31" s="67">
        <f t="shared" si="31"/>
        <v>244.51542404000011</v>
      </c>
      <c r="BP31" s="67">
        <f t="shared" ref="BP31:CD31" si="32">BP14+BP29</f>
        <v>233.56236954000016</v>
      </c>
      <c r="BQ31" s="67">
        <f t="shared" si="32"/>
        <v>226.67720621999999</v>
      </c>
      <c r="BR31" s="67">
        <f t="shared" si="32"/>
        <v>270.79231296000012</v>
      </c>
      <c r="BS31" s="67">
        <f t="shared" si="32"/>
        <v>271.31260383000011</v>
      </c>
      <c r="BT31" s="67">
        <f t="shared" si="32"/>
        <v>243.68287205000001</v>
      </c>
      <c r="BU31" s="67">
        <f t="shared" si="32"/>
        <v>267.09018759999998</v>
      </c>
      <c r="BV31" s="67">
        <f t="shared" si="32"/>
        <v>266.91209251000026</v>
      </c>
      <c r="BW31" s="67">
        <f t="shared" si="32"/>
        <v>267.65228842267618</v>
      </c>
      <c r="BX31" s="67">
        <f t="shared" si="32"/>
        <v>284.09902372177737</v>
      </c>
      <c r="BY31" s="67">
        <f t="shared" si="32"/>
        <v>313.0291910135752</v>
      </c>
      <c r="BZ31" s="67">
        <f t="shared" si="32"/>
        <v>328.66902587197126</v>
      </c>
      <c r="CA31" s="67">
        <f t="shared" si="32"/>
        <v>541.65480874608488</v>
      </c>
      <c r="CB31" s="67">
        <f t="shared" si="32"/>
        <v>525.64375321304442</v>
      </c>
      <c r="CC31" s="67">
        <f t="shared" si="32"/>
        <v>575.40008033387858</v>
      </c>
      <c r="CD31" s="67">
        <f t="shared" si="32"/>
        <v>706.08142697428821</v>
      </c>
      <c r="CE31" s="67">
        <f>CE14+CE29</f>
        <v>956.74708005237221</v>
      </c>
      <c r="CF31" s="353">
        <f>CF14+CF29</f>
        <v>753.56708560350023</v>
      </c>
      <c r="CG31" s="113"/>
      <c r="CH31" s="511"/>
      <c r="CI31" s="244"/>
      <c r="CJ31" s="458"/>
    </row>
    <row r="32" spans="1:95" s="373" customFormat="1" x14ac:dyDescent="0.2">
      <c r="A32" s="372"/>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376"/>
      <c r="AE32" s="376"/>
      <c r="AF32" s="376"/>
      <c r="AG32" s="376"/>
      <c r="AH32" s="376"/>
      <c r="AI32" s="376"/>
      <c r="AJ32" s="374"/>
      <c r="AK32" s="375"/>
      <c r="AL32" s="374"/>
      <c r="AM32" s="376"/>
      <c r="AN32" s="374"/>
      <c r="AO32" s="374"/>
      <c r="AP32" s="374"/>
      <c r="AQ32" s="374"/>
      <c r="AR32" s="374"/>
      <c r="AS32" s="375"/>
      <c r="AT32" s="376"/>
      <c r="AU32" s="375"/>
      <c r="AV32" s="374"/>
      <c r="AW32" s="374"/>
      <c r="AX32" s="374"/>
      <c r="AY32" s="374"/>
      <c r="AZ32" s="374"/>
      <c r="BA32" s="374"/>
      <c r="BB32" s="374"/>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499"/>
      <c r="CG32" s="377"/>
      <c r="CH32" s="459"/>
      <c r="CI32" s="459"/>
      <c r="CJ32" s="460"/>
    </row>
    <row r="33" spans="1:95" x14ac:dyDescent="0.2">
      <c r="A33" s="35" t="s">
        <v>118</v>
      </c>
      <c r="B33" s="195"/>
      <c r="C33" s="37">
        <v>-9.4553999999999991</v>
      </c>
      <c r="D33" s="37">
        <v>-8.218</v>
      </c>
      <c r="E33" s="37">
        <v>-8.7260000000000009</v>
      </c>
      <c r="F33" s="37">
        <v>-10.653</v>
      </c>
      <c r="G33" s="37">
        <v>-9.8759999999999994</v>
      </c>
      <c r="H33" s="37">
        <v>-9.1170000000000009</v>
      </c>
      <c r="I33" s="37">
        <v>-8.5009999999999994</v>
      </c>
      <c r="J33" s="37">
        <v>-10.151999999999999</v>
      </c>
      <c r="K33" s="37">
        <v>-10.052</v>
      </c>
      <c r="L33" s="37">
        <v>-9.4930000000000003</v>
      </c>
      <c r="M33" s="37">
        <v>-10.042</v>
      </c>
      <c r="N33" s="37">
        <v>-11.561</v>
      </c>
      <c r="O33" s="37">
        <v>-13.148</v>
      </c>
      <c r="P33" s="37">
        <v>-12.519</v>
      </c>
      <c r="Q33" s="37">
        <v>-10.627000000000001</v>
      </c>
      <c r="R33" s="37">
        <v>-11.394</v>
      </c>
      <c r="S33" s="37">
        <v>-13.106</v>
      </c>
      <c r="T33" s="37">
        <v>-15.670999999999999</v>
      </c>
      <c r="U33" s="37">
        <v>-14.82</v>
      </c>
      <c r="V33" s="37">
        <v>-15.315</v>
      </c>
      <c r="W33" s="37">
        <v>-23.504000000000001</v>
      </c>
      <c r="X33" s="37">
        <v>-24.283999999999999</v>
      </c>
      <c r="Y33" s="37">
        <v>-20.946000000000002</v>
      </c>
      <c r="Z33" s="37">
        <v>-27.225999999999999</v>
      </c>
      <c r="AA33" s="37">
        <v>-24.936345490000001</v>
      </c>
      <c r="AB33" s="37">
        <v>-31.730077229999996</v>
      </c>
      <c r="AC33" s="38">
        <v>-28.836217210000001</v>
      </c>
      <c r="AD33" s="38">
        <v>-33.936358859999999</v>
      </c>
      <c r="AE33" s="38">
        <v>-34.967885020000004</v>
      </c>
      <c r="AF33" s="38">
        <v>-39.156512759999998</v>
      </c>
      <c r="AG33" s="38">
        <v>-28.859226390000003</v>
      </c>
      <c r="AH33" s="38">
        <v>-34.501329899999995</v>
      </c>
      <c r="AI33" s="38">
        <v>-32.167816689999995</v>
      </c>
      <c r="AJ33" s="37">
        <v>-33.367163339999998</v>
      </c>
      <c r="AK33" s="39">
        <v>-26.951742070000002</v>
      </c>
      <c r="AL33" s="37">
        <v>-35.693997289999999</v>
      </c>
      <c r="AM33" s="38">
        <v>-37.78903369999999</v>
      </c>
      <c r="AN33" s="37">
        <v>-45.458932650000001</v>
      </c>
      <c r="AO33" s="37">
        <v>-36.273918429999995</v>
      </c>
      <c r="AP33" s="37">
        <v>-45.709419279999992</v>
      </c>
      <c r="AQ33" s="37">
        <v>-45.166457530000002</v>
      </c>
      <c r="AR33" s="37">
        <v>-50.787959459999996</v>
      </c>
      <c r="AS33" s="39">
        <v>-41.058650970000002</v>
      </c>
      <c r="AT33" s="38">
        <v>-51.767799359999998</v>
      </c>
      <c r="AU33" s="38">
        <v>-50.617339569999999</v>
      </c>
      <c r="AV33" s="37">
        <v>-55.452240249999988</v>
      </c>
      <c r="AW33" s="37">
        <v>-48.076709770000001</v>
      </c>
      <c r="AX33" s="37">
        <v>-52.757292109999995</v>
      </c>
      <c r="AY33" s="37">
        <v>-52.31</v>
      </c>
      <c r="AZ33" s="37">
        <v>-58.06</v>
      </c>
      <c r="BA33" s="37">
        <v>-43.44</v>
      </c>
      <c r="BB33" s="37">
        <v>-56.49</v>
      </c>
      <c r="BC33" s="37">
        <v>-57.85</v>
      </c>
      <c r="BD33" s="37">
        <v>-58.24</v>
      </c>
      <c r="BE33" s="37">
        <v>-50.74</v>
      </c>
      <c r="BF33" s="37">
        <v>-66.989999999999995</v>
      </c>
      <c r="BG33" s="37">
        <v>-64.319999999999993</v>
      </c>
      <c r="BH33" s="37">
        <v>-68.56</v>
      </c>
      <c r="BI33" s="201">
        <v>-58.29</v>
      </c>
      <c r="BJ33" s="32">
        <v>-75.010000000000005</v>
      </c>
      <c r="BK33" s="32">
        <v>-72.23</v>
      </c>
      <c r="BL33" s="32">
        <v>-73.62</v>
      </c>
      <c r="BM33" s="32">
        <v>-61.55</v>
      </c>
      <c r="BN33" s="28">
        <v>-83.05</v>
      </c>
      <c r="BO33" s="28">
        <v>-81.5</v>
      </c>
      <c r="BP33" s="7">
        <v>-86.71</v>
      </c>
      <c r="BQ33" s="28">
        <v>-73.52</v>
      </c>
      <c r="BR33" s="7">
        <v>-98.35</v>
      </c>
      <c r="BS33" s="28">
        <v>-90.43</v>
      </c>
      <c r="BT33" s="28">
        <v>-97.43</v>
      </c>
      <c r="BU33" s="28">
        <v>-82.713045910000005</v>
      </c>
      <c r="BV33" s="28">
        <v>-96.774449169999798</v>
      </c>
      <c r="BW33" s="29">
        <v>-102.69327952</v>
      </c>
      <c r="BX33" s="29">
        <v>-106.974156024796</v>
      </c>
      <c r="BY33" s="29">
        <v>-90.258016374796</v>
      </c>
      <c r="BZ33" s="28">
        <v>-114.530115964796</v>
      </c>
      <c r="CA33" s="28">
        <v>-111.201153415612</v>
      </c>
      <c r="CB33" s="28">
        <v>-120.151849935299</v>
      </c>
      <c r="CC33" s="291">
        <v>-102.78370459461037</v>
      </c>
      <c r="CD33" s="291">
        <v>-134.59832333461031</v>
      </c>
      <c r="CE33" s="291">
        <v>-136.68990085461039</v>
      </c>
      <c r="CF33" s="352">
        <v>-144.84547076086977</v>
      </c>
      <c r="CH33" s="500"/>
    </row>
    <row r="34" spans="1:95" x14ac:dyDescent="0.2">
      <c r="A34" s="35" t="s">
        <v>119</v>
      </c>
      <c r="B34" s="195"/>
      <c r="C34" s="37">
        <v>-1.2054</v>
      </c>
      <c r="D34" s="37">
        <v>-0.44500000000000001</v>
      </c>
      <c r="E34" s="37">
        <v>-0.57099999999999995</v>
      </c>
      <c r="F34" s="37">
        <v>-0.77</v>
      </c>
      <c r="G34" s="37">
        <v>-1.6619999999999999</v>
      </c>
      <c r="H34" s="37">
        <v>-1.3460000000000001</v>
      </c>
      <c r="I34" s="37">
        <v>-0.78600000000000003</v>
      </c>
      <c r="J34" s="37">
        <v>-1.448</v>
      </c>
      <c r="K34" s="37">
        <v>-0.68100000000000005</v>
      </c>
      <c r="L34" s="37">
        <v>-1.234</v>
      </c>
      <c r="M34" s="37">
        <v>-1.1830000000000001</v>
      </c>
      <c r="N34" s="37">
        <v>-2.407</v>
      </c>
      <c r="O34" s="37">
        <v>-1.52</v>
      </c>
      <c r="P34" s="37">
        <v>-1.345</v>
      </c>
      <c r="Q34" s="37">
        <v>-1.2749999999999999</v>
      </c>
      <c r="R34" s="37">
        <v>-5.9370000000000003</v>
      </c>
      <c r="S34" s="37">
        <v>-4.6630000000000003</v>
      </c>
      <c r="T34" s="37">
        <v>-3.984</v>
      </c>
      <c r="U34" s="37">
        <v>-2.1349999999999998</v>
      </c>
      <c r="V34" s="37">
        <v>-8.6379999999999999</v>
      </c>
      <c r="W34" s="37">
        <v>-6.5579999999999998</v>
      </c>
      <c r="X34" s="37">
        <v>-19.253</v>
      </c>
      <c r="Y34" s="37">
        <v>-3.9009999999999998</v>
      </c>
      <c r="Z34" s="37">
        <v>-13.025</v>
      </c>
      <c r="AA34" s="37">
        <v>-13.959121</v>
      </c>
      <c r="AB34" s="37">
        <v>-12.994894209999998</v>
      </c>
      <c r="AC34" s="38">
        <v>-8.8348889509999999</v>
      </c>
      <c r="AD34" s="38">
        <v>-13.610128000000001</v>
      </c>
      <c r="AE34" s="38">
        <v>-8.715088660000001</v>
      </c>
      <c r="AF34" s="38">
        <v>-8.5182092300000001</v>
      </c>
      <c r="AG34" s="38">
        <v>-4.2506760299999993</v>
      </c>
      <c r="AH34" s="38">
        <v>-9.7100998600000015</v>
      </c>
      <c r="AI34" s="38">
        <v>-3.7660376000000002</v>
      </c>
      <c r="AJ34" s="37">
        <v>-5.0135777400000006</v>
      </c>
      <c r="AK34" s="39">
        <v>-3.4405123899999999</v>
      </c>
      <c r="AL34" s="37">
        <v>-10.025521029999998</v>
      </c>
      <c r="AM34" s="38">
        <v>-4.5175557900000003</v>
      </c>
      <c r="AN34" s="37">
        <v>-6.1358294000000004</v>
      </c>
      <c r="AO34" s="37">
        <v>-3.1684481500000001</v>
      </c>
      <c r="AP34" s="37">
        <v>-9.5221199300000006</v>
      </c>
      <c r="AQ34" s="37">
        <v>-5.5154744299999994</v>
      </c>
      <c r="AR34" s="37">
        <v>-5.4550141199999995</v>
      </c>
      <c r="AS34" s="39">
        <v>-4.8543198400000005</v>
      </c>
      <c r="AT34" s="38">
        <v>-7.3775972699999999</v>
      </c>
      <c r="AU34" s="38">
        <v>-8.33672374</v>
      </c>
      <c r="AV34" s="37">
        <v>-4.2277786200000005</v>
      </c>
      <c r="AW34" s="37">
        <v>-2.4781237599999999</v>
      </c>
      <c r="AX34" s="37">
        <v>-5.9352575099999996</v>
      </c>
      <c r="AY34" s="37">
        <v>-4.08</v>
      </c>
      <c r="AZ34" s="37">
        <v>-4.16</v>
      </c>
      <c r="BA34" s="37">
        <v>-0.05</v>
      </c>
      <c r="BB34" s="37">
        <v>-6.72</v>
      </c>
      <c r="BC34" s="37">
        <v>-3.59</v>
      </c>
      <c r="BD34" s="37">
        <v>-4.91</v>
      </c>
      <c r="BE34" s="37">
        <v>-3.65</v>
      </c>
      <c r="BF34" s="37">
        <v>-7.42</v>
      </c>
      <c r="BG34" s="37">
        <v>-6.88</v>
      </c>
      <c r="BH34" s="37">
        <v>-3.71</v>
      </c>
      <c r="BI34" s="77">
        <v>-3.81</v>
      </c>
      <c r="BJ34" s="48">
        <v>-3.85</v>
      </c>
      <c r="BK34" s="48">
        <v>-4.8899999999999997</v>
      </c>
      <c r="BL34" s="48">
        <v>-3.99</v>
      </c>
      <c r="BM34" s="48">
        <v>-3.57</v>
      </c>
      <c r="BN34" s="45">
        <v>-9.2100000000000009</v>
      </c>
      <c r="BO34" s="45">
        <v>-4.4400000000000004</v>
      </c>
      <c r="BP34" s="47">
        <v>-2.35</v>
      </c>
      <c r="BQ34" s="45">
        <v>-3.64</v>
      </c>
      <c r="BR34" s="47">
        <v>-7.88</v>
      </c>
      <c r="BS34" s="45">
        <v>-4.9000000000000004</v>
      </c>
      <c r="BT34" s="45">
        <v>-3.22</v>
      </c>
      <c r="BU34" s="45">
        <v>-4.9390719500000007</v>
      </c>
      <c r="BV34" s="45">
        <v>-3.7968907399999998</v>
      </c>
      <c r="BW34" s="46">
        <v>-8.0003054800000015</v>
      </c>
      <c r="BX34" s="46">
        <v>-3.4519545900000002</v>
      </c>
      <c r="BY34" s="46">
        <v>-4.4543840000000001</v>
      </c>
      <c r="BZ34" s="45">
        <v>-2.6801876299999998</v>
      </c>
      <c r="CA34" s="45">
        <v>-7.9143789500000006</v>
      </c>
      <c r="CB34" s="45">
        <v>-2.2989963399999995</v>
      </c>
      <c r="CC34" s="293">
        <v>-6.7755518700000001</v>
      </c>
      <c r="CD34" s="293">
        <v>-4.8258804</v>
      </c>
      <c r="CE34" s="293">
        <v>-9.3247276600000006</v>
      </c>
      <c r="CF34" s="344">
        <v>-2.9984016918500802</v>
      </c>
      <c r="CH34" s="500"/>
    </row>
    <row r="35" spans="1:95" x14ac:dyDescent="0.2">
      <c r="A35" s="43" t="s">
        <v>31</v>
      </c>
      <c r="B35" s="196"/>
      <c r="C35" s="45">
        <v>-1.2890999999999999</v>
      </c>
      <c r="D35" s="45">
        <v>-1.3089999999999999</v>
      </c>
      <c r="E35" s="45">
        <v>-2.2269999999999999</v>
      </c>
      <c r="F35" s="45">
        <v>-2.802</v>
      </c>
      <c r="G35" s="45">
        <v>-2.7850000000000001</v>
      </c>
      <c r="H35" s="45">
        <v>-2.7360000000000002</v>
      </c>
      <c r="I35" s="45">
        <v>-2.7549999999999999</v>
      </c>
      <c r="J35" s="45">
        <v>-2.7130000000000001</v>
      </c>
      <c r="K35" s="45">
        <v>-1.968</v>
      </c>
      <c r="L35" s="45">
        <v>-1.393</v>
      </c>
      <c r="M35" s="45">
        <v>-1.222</v>
      </c>
      <c r="N35" s="45">
        <v>-1.1819999999999999</v>
      </c>
      <c r="O35" s="45">
        <v>-0.88100000000000001</v>
      </c>
      <c r="P35" s="45">
        <v>-0.92500000000000004</v>
      </c>
      <c r="Q35" s="45">
        <v>-1.2210000000000001</v>
      </c>
      <c r="R35" s="45">
        <v>-1.385</v>
      </c>
      <c r="S35" s="45">
        <v>-1.4670000000000001</v>
      </c>
      <c r="T35" s="45">
        <v>-1.538</v>
      </c>
      <c r="U35" s="45">
        <v>-1.573</v>
      </c>
      <c r="V35" s="45">
        <v>-1.73</v>
      </c>
      <c r="W35" s="45">
        <v>-1.8280000000000001</v>
      </c>
      <c r="X35" s="45">
        <v>-2.0640000000000001</v>
      </c>
      <c r="Y35" s="45">
        <v>-2.1309999999999998</v>
      </c>
      <c r="Z35" s="45">
        <v>-2.1469999999999998</v>
      </c>
      <c r="AA35" s="45">
        <v>-2.2377362999999999</v>
      </c>
      <c r="AB35" s="45">
        <v>-2.4655612899999997</v>
      </c>
      <c r="AC35" s="46">
        <v>-2.5977095000000001</v>
      </c>
      <c r="AD35" s="46">
        <v>-2.4160367100000002</v>
      </c>
      <c r="AE35" s="46">
        <v>-2.9302529999999996</v>
      </c>
      <c r="AF35" s="46">
        <v>-3.2562529999999996</v>
      </c>
      <c r="AG35" s="46">
        <v>-3.2027529999999995</v>
      </c>
      <c r="AH35" s="46">
        <v>-2.9482544035</v>
      </c>
      <c r="AI35" s="46">
        <v>-2.3620192458330003</v>
      </c>
      <c r="AJ35" s="45">
        <v>-2.1827620525000002</v>
      </c>
      <c r="AK35" s="47">
        <v>-1.9466840599999999</v>
      </c>
      <c r="AL35" s="45">
        <v>-1.6257522499999999</v>
      </c>
      <c r="AM35" s="46">
        <v>-2.5344484499999997</v>
      </c>
      <c r="AN35" s="45">
        <v>-2.6600297300000002</v>
      </c>
      <c r="AO35" s="45">
        <v>-2.951571659107</v>
      </c>
      <c r="AP35" s="45">
        <v>-3.01854741</v>
      </c>
      <c r="AQ35" s="45">
        <v>-2.1504830400000001</v>
      </c>
      <c r="AR35" s="45">
        <v>-2.5023757500000001</v>
      </c>
      <c r="AS35" s="47">
        <v>-3.3376217000000001</v>
      </c>
      <c r="AT35" s="46">
        <v>-3.3182782500000001</v>
      </c>
      <c r="AU35" s="46">
        <v>-3.3078340699999997</v>
      </c>
      <c r="AV35" s="45">
        <v>-3.24950136</v>
      </c>
      <c r="AW35" s="45">
        <v>-3.2588243800000001</v>
      </c>
      <c r="AX35" s="45">
        <v>-3.2268160699999999</v>
      </c>
      <c r="AY35" s="45">
        <v>-3.02</v>
      </c>
      <c r="AZ35" s="45">
        <v>-2.63</v>
      </c>
      <c r="BA35" s="45">
        <v>-2.2999999999999998</v>
      </c>
      <c r="BB35" s="45">
        <v>-2.16</v>
      </c>
      <c r="BC35" s="45">
        <v>-2.09</v>
      </c>
      <c r="BD35" s="45">
        <v>-1.82</v>
      </c>
      <c r="BE35" s="45">
        <v>-1.91</v>
      </c>
      <c r="BF35" s="45">
        <v>-1.64</v>
      </c>
      <c r="BG35" s="45">
        <v>-1.93</v>
      </c>
      <c r="BH35" s="45">
        <v>-2.0299999999999998</v>
      </c>
      <c r="BI35" s="77">
        <v>-2.08</v>
      </c>
      <c r="BJ35" s="48">
        <v>-2.1800000000000002</v>
      </c>
      <c r="BK35" s="48">
        <v>-2.3199999999999998</v>
      </c>
      <c r="BL35" s="48">
        <v>-1.97</v>
      </c>
      <c r="BM35" s="48">
        <v>-1.82</v>
      </c>
      <c r="BN35" s="45">
        <v>-1.95</v>
      </c>
      <c r="BO35" s="45">
        <v>-1.97</v>
      </c>
      <c r="BP35" s="47">
        <v>-2.04</v>
      </c>
      <c r="BQ35" s="45">
        <v>-5.12</v>
      </c>
      <c r="BR35" s="47">
        <v>-2.98</v>
      </c>
      <c r="BS35" s="45">
        <v>-4.71</v>
      </c>
      <c r="BT35" s="45">
        <v>-4.84</v>
      </c>
      <c r="BU35" s="45">
        <v>-4.9312829600000168</v>
      </c>
      <c r="BV35" s="45">
        <v>-5.1745254200000099</v>
      </c>
      <c r="BW35" s="46">
        <v>-13.607147269999999</v>
      </c>
      <c r="BX35" s="46">
        <v>-13.67679959</v>
      </c>
      <c r="BY35" s="46">
        <v>-13.597490029999982</v>
      </c>
      <c r="BZ35" s="45">
        <v>-22.243801259999898</v>
      </c>
      <c r="CA35" s="45">
        <v>-14.416619379999998</v>
      </c>
      <c r="CB35" s="45">
        <v>-16.65098084000001</v>
      </c>
      <c r="CC35" s="293">
        <v>-19.10120796</v>
      </c>
      <c r="CD35" s="293">
        <v>-34.020662540000011</v>
      </c>
      <c r="CE35" s="293">
        <v>-16.981514320000027</v>
      </c>
      <c r="CF35" s="344">
        <v>-17.295003320000028</v>
      </c>
      <c r="CH35" s="500"/>
    </row>
    <row r="36" spans="1:95" x14ac:dyDescent="0.2">
      <c r="A36" s="78" t="s">
        <v>120</v>
      </c>
      <c r="B36" s="200"/>
      <c r="C36" s="63">
        <v>-10.619399999999999</v>
      </c>
      <c r="D36" s="63">
        <v>-8.6910000000000007</v>
      </c>
      <c r="E36" s="63">
        <v>-9.0950000000000006</v>
      </c>
      <c r="F36" s="63">
        <v>-9.4309999999999992</v>
      </c>
      <c r="G36" s="63">
        <v>-12.93</v>
      </c>
      <c r="H36" s="63">
        <v>-10.696999999999999</v>
      </c>
      <c r="I36" s="63">
        <v>-9.9710000000000001</v>
      </c>
      <c r="J36" s="63">
        <v>-8.1489999999999991</v>
      </c>
      <c r="K36" s="63">
        <v>-10.156000000000001</v>
      </c>
      <c r="L36" s="63">
        <v>-9.1440000000000001</v>
      </c>
      <c r="M36" s="63">
        <v>-8.3469999999999995</v>
      </c>
      <c r="N36" s="63">
        <v>-10.602</v>
      </c>
      <c r="O36" s="63">
        <v>-12.125999999999999</v>
      </c>
      <c r="P36" s="63">
        <v>-10.391999999999999</v>
      </c>
      <c r="Q36" s="63">
        <v>-10.487</v>
      </c>
      <c r="R36" s="63">
        <v>-13.496</v>
      </c>
      <c r="S36" s="63">
        <v>-13.998999999999999</v>
      </c>
      <c r="T36" s="63">
        <v>-13.444999999999999</v>
      </c>
      <c r="U36" s="63">
        <v>-12.101999999999999</v>
      </c>
      <c r="V36" s="63">
        <v>-13.048</v>
      </c>
      <c r="W36" s="63">
        <v>-15.643000000000001</v>
      </c>
      <c r="X36" s="63">
        <v>-17.521000000000001</v>
      </c>
      <c r="Y36" s="63">
        <v>-13.163</v>
      </c>
      <c r="Z36" s="63">
        <v>-15.782</v>
      </c>
      <c r="AA36" s="63">
        <v>-17.098485050000001</v>
      </c>
      <c r="AB36" s="63">
        <v>-17.648598230000005</v>
      </c>
      <c r="AC36" s="79">
        <v>-14.450039440000001</v>
      </c>
      <c r="AD36" s="79">
        <v>-18.869346570000001</v>
      </c>
      <c r="AE36" s="79">
        <v>-20.923743119999997</v>
      </c>
      <c r="AF36" s="79">
        <v>-19.459680469999999</v>
      </c>
      <c r="AG36" s="79">
        <v>-18.89468798</v>
      </c>
      <c r="AH36" s="79">
        <v>-26.3158727</v>
      </c>
      <c r="AI36" s="79">
        <v>-15.990159869999999</v>
      </c>
      <c r="AJ36" s="63">
        <v>-18.962025559999997</v>
      </c>
      <c r="AK36" s="80">
        <v>-17.587366170000003</v>
      </c>
      <c r="AL36" s="63">
        <v>-17.799392059999999</v>
      </c>
      <c r="AM36" s="79">
        <v>-18.573356230000005</v>
      </c>
      <c r="AN36" s="63">
        <v>-22.077792730000002</v>
      </c>
      <c r="AO36" s="63">
        <v>-20.20397569</v>
      </c>
      <c r="AP36" s="63">
        <v>-21.958215950000003</v>
      </c>
      <c r="AQ36" s="63">
        <v>-21.056616979999998</v>
      </c>
      <c r="AR36" s="63">
        <v>-35.669498160000003</v>
      </c>
      <c r="AS36" s="80">
        <v>-26.935010719999994</v>
      </c>
      <c r="AT36" s="79">
        <v>-29.562849320000002</v>
      </c>
      <c r="AU36" s="79">
        <v>-26.609023619999999</v>
      </c>
      <c r="AV36" s="63">
        <v>-27.006883284285998</v>
      </c>
      <c r="AW36" s="63">
        <v>-25.982427078574997</v>
      </c>
      <c r="AX36" s="63">
        <v>-29.159144696875003</v>
      </c>
      <c r="AY36" s="63">
        <v>-32.159999999999997</v>
      </c>
      <c r="AZ36" s="63">
        <v>-31.76</v>
      </c>
      <c r="BA36" s="63">
        <v>-26.37</v>
      </c>
      <c r="BB36" s="63">
        <v>-27.23</v>
      </c>
      <c r="BC36" s="63">
        <v>-28.61</v>
      </c>
      <c r="BD36" s="63">
        <v>-28.3</v>
      </c>
      <c r="BE36" s="63">
        <v>-34.26</v>
      </c>
      <c r="BF36" s="63">
        <v>-30.72</v>
      </c>
      <c r="BG36" s="63">
        <v>-31.23</v>
      </c>
      <c r="BH36" s="63">
        <v>-29.56</v>
      </c>
      <c r="BI36" s="63">
        <v>-28.71</v>
      </c>
      <c r="BJ36" s="81">
        <v>-28.86</v>
      </c>
      <c r="BK36" s="81">
        <v>-30</v>
      </c>
      <c r="BL36" s="81">
        <v>-29.7</v>
      </c>
      <c r="BM36" s="81">
        <v>-29.4</v>
      </c>
      <c r="BN36" s="63">
        <v>-33.979999999999997</v>
      </c>
      <c r="BO36" s="63">
        <v>-36.18</v>
      </c>
      <c r="BP36" s="80">
        <v>-39.409999999999997</v>
      </c>
      <c r="BQ36" s="63">
        <v>-40.700000000000003</v>
      </c>
      <c r="BR36" s="80">
        <v>-48.06</v>
      </c>
      <c r="BS36" s="63">
        <v>-52.11</v>
      </c>
      <c r="BT36" s="63">
        <v>-47.57</v>
      </c>
      <c r="BU36" s="63">
        <v>-41.972759501338601</v>
      </c>
      <c r="BV36" s="63">
        <f>-48.7882061959564-35</f>
        <v>-83.788206195956406</v>
      </c>
      <c r="BW36" s="79">
        <v>-39.940693621883</v>
      </c>
      <c r="BX36" s="79">
        <v>-41.693411318636898</v>
      </c>
      <c r="BY36" s="79">
        <v>-40.099704216201197</v>
      </c>
      <c r="BZ36" s="63">
        <v>-47.620648415337499</v>
      </c>
      <c r="CA36" s="63">
        <v>-45.357766575627899</v>
      </c>
      <c r="CB36" s="63">
        <v>-46.285201788672204</v>
      </c>
      <c r="CC36" s="296">
        <v>-48.528738403329569</v>
      </c>
      <c r="CD36" s="296">
        <v>-47.681831851392104</v>
      </c>
      <c r="CE36" s="296">
        <v>-39.444136012636108</v>
      </c>
      <c r="CF36" s="382">
        <v>-51.218446348333813</v>
      </c>
      <c r="CH36" s="500"/>
    </row>
    <row r="37" spans="1:95" s="425" customFormat="1" x14ac:dyDescent="0.2">
      <c r="A37" s="64" t="s">
        <v>202</v>
      </c>
      <c r="B37" s="65"/>
      <c r="C37" s="66">
        <f t="shared" ref="C37:AH37" si="33">SUM(C33:C36)</f>
        <v>-22.569299999999998</v>
      </c>
      <c r="D37" s="66">
        <f t="shared" si="33"/>
        <v>-18.663</v>
      </c>
      <c r="E37" s="66">
        <f t="shared" si="33"/>
        <v>-20.619</v>
      </c>
      <c r="F37" s="66">
        <f t="shared" si="33"/>
        <v>-23.655999999999999</v>
      </c>
      <c r="G37" s="66">
        <f t="shared" si="33"/>
        <v>-27.253</v>
      </c>
      <c r="H37" s="66">
        <f t="shared" si="33"/>
        <v>-23.896000000000001</v>
      </c>
      <c r="I37" s="66">
        <f t="shared" si="33"/>
        <v>-22.012999999999998</v>
      </c>
      <c r="J37" s="66">
        <f t="shared" si="33"/>
        <v>-22.461999999999996</v>
      </c>
      <c r="K37" s="66">
        <f t="shared" si="33"/>
        <v>-22.856999999999999</v>
      </c>
      <c r="L37" s="66">
        <f t="shared" si="33"/>
        <v>-21.264000000000003</v>
      </c>
      <c r="M37" s="66">
        <f t="shared" si="33"/>
        <v>-20.793999999999997</v>
      </c>
      <c r="N37" s="66">
        <f t="shared" si="33"/>
        <v>-25.752000000000002</v>
      </c>
      <c r="O37" s="66">
        <f t="shared" si="33"/>
        <v>-27.674999999999997</v>
      </c>
      <c r="P37" s="66">
        <f t="shared" si="33"/>
        <v>-25.181000000000001</v>
      </c>
      <c r="Q37" s="66">
        <f t="shared" si="33"/>
        <v>-23.61</v>
      </c>
      <c r="R37" s="66">
        <f t="shared" si="33"/>
        <v>-32.212000000000003</v>
      </c>
      <c r="S37" s="66">
        <f t="shared" si="33"/>
        <v>-33.234999999999999</v>
      </c>
      <c r="T37" s="66">
        <f t="shared" si="33"/>
        <v>-34.637999999999998</v>
      </c>
      <c r="U37" s="66">
        <f t="shared" si="33"/>
        <v>-30.629999999999995</v>
      </c>
      <c r="V37" s="66">
        <f t="shared" si="33"/>
        <v>-38.731000000000002</v>
      </c>
      <c r="W37" s="66">
        <f t="shared" si="33"/>
        <v>-47.533000000000001</v>
      </c>
      <c r="X37" s="66">
        <f t="shared" si="33"/>
        <v>-63.122</v>
      </c>
      <c r="Y37" s="66">
        <f t="shared" si="33"/>
        <v>-40.141000000000005</v>
      </c>
      <c r="Z37" s="66">
        <f t="shared" si="33"/>
        <v>-58.179999999999993</v>
      </c>
      <c r="AA37" s="66">
        <f t="shared" si="33"/>
        <v>-58.231687840000006</v>
      </c>
      <c r="AB37" s="66">
        <f t="shared" si="33"/>
        <v>-64.839130959999991</v>
      </c>
      <c r="AC37" s="68">
        <f t="shared" si="33"/>
        <v>-54.718855101000003</v>
      </c>
      <c r="AD37" s="69">
        <f t="shared" si="33"/>
        <v>-68.831870140000007</v>
      </c>
      <c r="AE37" s="69">
        <f t="shared" si="33"/>
        <v>-67.536969800000008</v>
      </c>
      <c r="AF37" s="69">
        <f t="shared" si="33"/>
        <v>-70.390655459999991</v>
      </c>
      <c r="AG37" s="69">
        <f t="shared" si="33"/>
        <v>-55.207343400000006</v>
      </c>
      <c r="AH37" s="69">
        <f t="shared" si="33"/>
        <v>-73.475556863500003</v>
      </c>
      <c r="AI37" s="69">
        <f t="shared" ref="AI37:BJ37" si="34">SUM(AI33:AI36)</f>
        <v>-54.286033405832995</v>
      </c>
      <c r="AJ37" s="66">
        <f t="shared" si="34"/>
        <v>-59.525528692500004</v>
      </c>
      <c r="AK37" s="69">
        <f t="shared" si="34"/>
        <v>-49.926304690000002</v>
      </c>
      <c r="AL37" s="66">
        <f t="shared" si="34"/>
        <v>-65.144662629999999</v>
      </c>
      <c r="AM37" s="69">
        <f t="shared" si="34"/>
        <v>-63.414394169999994</v>
      </c>
      <c r="AN37" s="66">
        <f t="shared" si="34"/>
        <v>-76.332584510000004</v>
      </c>
      <c r="AO37" s="66">
        <f t="shared" si="34"/>
        <v>-62.597913929107001</v>
      </c>
      <c r="AP37" s="66">
        <f t="shared" si="34"/>
        <v>-80.208302570000001</v>
      </c>
      <c r="AQ37" s="66">
        <f t="shared" si="34"/>
        <v>-73.889031979999999</v>
      </c>
      <c r="AR37" s="66">
        <f t="shared" si="34"/>
        <v>-94.41484749</v>
      </c>
      <c r="AS37" s="68">
        <f t="shared" si="34"/>
        <v>-76.185603229999998</v>
      </c>
      <c r="AT37" s="69">
        <f t="shared" si="34"/>
        <v>-92.026524199999997</v>
      </c>
      <c r="AU37" s="69">
        <f t="shared" si="34"/>
        <v>-88.870920999999996</v>
      </c>
      <c r="AV37" s="66">
        <f t="shared" si="34"/>
        <v>-89.936403514285985</v>
      </c>
      <c r="AW37" s="66">
        <f t="shared" si="34"/>
        <v>-79.796084988575004</v>
      </c>
      <c r="AX37" s="66">
        <f t="shared" si="34"/>
        <v>-91.078510386874996</v>
      </c>
      <c r="AY37" s="66">
        <f t="shared" si="34"/>
        <v>-91.57</v>
      </c>
      <c r="AZ37" s="66">
        <f t="shared" si="34"/>
        <v>-96.61</v>
      </c>
      <c r="BA37" s="66">
        <f t="shared" si="34"/>
        <v>-72.16</v>
      </c>
      <c r="BB37" s="66">
        <f t="shared" si="34"/>
        <v>-92.600000000000009</v>
      </c>
      <c r="BC37" s="66">
        <f t="shared" si="34"/>
        <v>-92.14</v>
      </c>
      <c r="BD37" s="66">
        <f t="shared" si="34"/>
        <v>-93.27</v>
      </c>
      <c r="BE37" s="66">
        <f t="shared" si="34"/>
        <v>-90.56</v>
      </c>
      <c r="BF37" s="66">
        <f t="shared" si="34"/>
        <v>-106.77</v>
      </c>
      <c r="BG37" s="66">
        <f t="shared" si="34"/>
        <v>-104.36</v>
      </c>
      <c r="BH37" s="66">
        <f t="shared" si="34"/>
        <v>-103.86</v>
      </c>
      <c r="BI37" s="67">
        <f t="shared" si="34"/>
        <v>-92.890000000000015</v>
      </c>
      <c r="BJ37" s="83">
        <f t="shared" si="34"/>
        <v>-109.9</v>
      </c>
      <c r="BK37" s="83">
        <v>-109.4</v>
      </c>
      <c r="BL37" s="83">
        <f>SUM(BL33:BL36)</f>
        <v>-109.28</v>
      </c>
      <c r="BM37" s="83">
        <f>SUM(BM33:BM36)</f>
        <v>-96.339999999999975</v>
      </c>
      <c r="BN37" s="66">
        <v>-128.19999999999999</v>
      </c>
      <c r="BO37" s="66">
        <v>-124.1</v>
      </c>
      <c r="BP37" s="68">
        <v>-130.51</v>
      </c>
      <c r="BQ37" s="66">
        <v>-122.97499999999999</v>
      </c>
      <c r="BR37" s="68">
        <v>-157.26</v>
      </c>
      <c r="BS37" s="66">
        <v>-152.15600000000001</v>
      </c>
      <c r="BT37" s="66">
        <f t="shared" ref="BT37:BY37" si="35">SUM(BT33:BT36)</f>
        <v>-153.06</v>
      </c>
      <c r="BU37" s="66">
        <f t="shared" si="35"/>
        <v>-134.55616032133861</v>
      </c>
      <c r="BV37" s="66">
        <f t="shared" si="35"/>
        <v>-189.53407152595622</v>
      </c>
      <c r="BW37" s="69">
        <f t="shared" si="35"/>
        <v>-164.24142589188301</v>
      </c>
      <c r="BX37" s="69">
        <f t="shared" si="35"/>
        <v>-165.79632152343291</v>
      </c>
      <c r="BY37" s="69">
        <f t="shared" si="35"/>
        <v>-148.40959462099718</v>
      </c>
      <c r="BZ37" s="66">
        <f t="shared" ref="BZ37:CE37" si="36">SUM(BZ33:BZ36)</f>
        <v>-187.07475327013339</v>
      </c>
      <c r="CA37" s="66">
        <f t="shared" si="36"/>
        <v>-178.88991832123989</v>
      </c>
      <c r="CB37" s="66">
        <f t="shared" si="36"/>
        <v>-185.38702890397121</v>
      </c>
      <c r="CC37" s="297">
        <f t="shared" si="36"/>
        <v>-177.18920282793994</v>
      </c>
      <c r="CD37" s="297">
        <f t="shared" si="36"/>
        <v>-221.12669812600242</v>
      </c>
      <c r="CE37" s="297">
        <f t="shared" si="36"/>
        <v>-202.44027884724653</v>
      </c>
      <c r="CF37" s="354">
        <f t="shared" ref="CF37" si="37">SUM(CF33:CF36)</f>
        <v>-216.3573221210537</v>
      </c>
      <c r="CG37" s="335"/>
      <c r="CH37" s="457"/>
      <c r="CI37" s="457"/>
      <c r="CJ37" s="457"/>
      <c r="CK37" s="457"/>
      <c r="CL37" s="457"/>
      <c r="CM37" s="457"/>
      <c r="CN37" s="457"/>
      <c r="CO37" s="457"/>
      <c r="CP37" s="457"/>
    </row>
    <row r="38" spans="1:95" s="425" customFormat="1" x14ac:dyDescent="0.2">
      <c r="A38" s="64"/>
      <c r="B38" s="6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8"/>
      <c r="AD38" s="69"/>
      <c r="AE38" s="69"/>
      <c r="AF38" s="69"/>
      <c r="AG38" s="69"/>
      <c r="AH38" s="69"/>
      <c r="AI38" s="69"/>
      <c r="AJ38" s="66"/>
      <c r="AK38" s="68"/>
      <c r="AL38" s="66"/>
      <c r="AM38" s="69"/>
      <c r="AN38" s="66"/>
      <c r="AO38" s="66"/>
      <c r="AP38" s="66"/>
      <c r="AQ38" s="66"/>
      <c r="AR38" s="66"/>
      <c r="AS38" s="68"/>
      <c r="AT38" s="69"/>
      <c r="AU38" s="69"/>
      <c r="AV38" s="66"/>
      <c r="AW38" s="66"/>
      <c r="AX38" s="66"/>
      <c r="AY38" s="66"/>
      <c r="AZ38" s="66"/>
      <c r="BA38" s="66"/>
      <c r="BB38" s="66"/>
      <c r="BC38" s="66"/>
      <c r="BD38" s="66"/>
      <c r="BE38" s="66"/>
      <c r="BF38" s="66"/>
      <c r="BG38" s="66"/>
      <c r="BH38" s="66"/>
      <c r="BI38" s="69"/>
      <c r="BJ38" s="66"/>
      <c r="BK38" s="66"/>
      <c r="BL38" s="66"/>
      <c r="BM38" s="66"/>
      <c r="BN38" s="66"/>
      <c r="BO38" s="66"/>
      <c r="BP38" s="68"/>
      <c r="BQ38" s="66"/>
      <c r="BR38" s="68"/>
      <c r="BS38" s="66"/>
      <c r="BT38" s="66"/>
      <c r="BU38" s="66"/>
      <c r="BV38" s="66"/>
      <c r="BW38" s="69"/>
      <c r="BX38" s="69"/>
      <c r="BY38" s="69"/>
      <c r="BZ38" s="66"/>
      <c r="CA38" s="66"/>
      <c r="CB38" s="66"/>
      <c r="CC38" s="297"/>
      <c r="CD38" s="297"/>
      <c r="CE38" s="297"/>
      <c r="CF38" s="354"/>
      <c r="CG38" s="453"/>
      <c r="CH38" s="457"/>
      <c r="CI38" s="457"/>
      <c r="CJ38" s="457"/>
      <c r="CK38" s="457"/>
      <c r="CL38" s="457"/>
      <c r="CM38" s="457"/>
      <c r="CN38" s="457"/>
      <c r="CO38" s="457"/>
      <c r="CP38" s="457"/>
    </row>
    <row r="39" spans="1:95" s="425" customFormat="1" x14ac:dyDescent="0.2">
      <c r="A39" s="8" t="s">
        <v>92</v>
      </c>
      <c r="B39" s="9"/>
      <c r="C39" s="67">
        <f t="shared" ref="C39:AH39" si="38">SUM(C31,C37)</f>
        <v>-0.96929999999999694</v>
      </c>
      <c r="D39" s="67">
        <f t="shared" si="38"/>
        <v>-2.1630000000000003</v>
      </c>
      <c r="E39" s="67">
        <f t="shared" si="38"/>
        <v>0.9809999999999981</v>
      </c>
      <c r="F39" s="67">
        <f t="shared" si="38"/>
        <v>11.544000000000004</v>
      </c>
      <c r="G39" s="67">
        <f t="shared" si="38"/>
        <v>2.4469999999999992</v>
      </c>
      <c r="H39" s="67">
        <f t="shared" si="38"/>
        <v>0.70400000000000063</v>
      </c>
      <c r="I39" s="67">
        <f t="shared" si="38"/>
        <v>8.1870000000000012</v>
      </c>
      <c r="J39" s="67">
        <f t="shared" si="38"/>
        <v>15.638000000000005</v>
      </c>
      <c r="K39" s="67">
        <f t="shared" si="38"/>
        <v>6.0710000000000015</v>
      </c>
      <c r="L39" s="67">
        <f t="shared" si="38"/>
        <v>12.229999999999997</v>
      </c>
      <c r="M39" s="67">
        <f t="shared" si="38"/>
        <v>19.915999999999997</v>
      </c>
      <c r="N39" s="67">
        <f t="shared" si="38"/>
        <v>20.657999999999994</v>
      </c>
      <c r="O39" s="67">
        <f t="shared" si="38"/>
        <v>37.734999999999999</v>
      </c>
      <c r="P39" s="67">
        <f t="shared" si="38"/>
        <v>24.166999999999998</v>
      </c>
      <c r="Q39" s="67">
        <f t="shared" si="38"/>
        <v>16.719000000000001</v>
      </c>
      <c r="R39" s="67">
        <f t="shared" si="38"/>
        <v>22.516999999999996</v>
      </c>
      <c r="S39" s="67">
        <f t="shared" si="38"/>
        <v>27.564999999999998</v>
      </c>
      <c r="T39" s="67">
        <f t="shared" si="38"/>
        <v>31.240000000000002</v>
      </c>
      <c r="U39" s="67">
        <f t="shared" si="38"/>
        <v>43.25800000000001</v>
      </c>
      <c r="V39" s="67">
        <f t="shared" si="38"/>
        <v>44.557000000000009</v>
      </c>
      <c r="W39" s="67">
        <f t="shared" si="38"/>
        <v>75.916999999999987</v>
      </c>
      <c r="X39" s="67">
        <f t="shared" si="38"/>
        <v>62.078000000000003</v>
      </c>
      <c r="Y39" s="67">
        <f t="shared" si="38"/>
        <v>46.413999999999987</v>
      </c>
      <c r="Z39" s="67">
        <f t="shared" si="38"/>
        <v>59.458000000000013</v>
      </c>
      <c r="AA39" s="67">
        <f t="shared" si="38"/>
        <v>77.093312159999982</v>
      </c>
      <c r="AB39" s="67">
        <f t="shared" si="38"/>
        <v>73.685869039999986</v>
      </c>
      <c r="AC39" s="67">
        <f t="shared" si="38"/>
        <v>75.791099898999988</v>
      </c>
      <c r="AD39" s="67">
        <f t="shared" si="38"/>
        <v>81.28177986</v>
      </c>
      <c r="AE39" s="67">
        <f t="shared" si="38"/>
        <v>68.813029199999988</v>
      </c>
      <c r="AF39" s="67">
        <f t="shared" si="38"/>
        <v>59.311964540000034</v>
      </c>
      <c r="AG39" s="67">
        <f t="shared" si="38"/>
        <v>61.334463799999988</v>
      </c>
      <c r="AH39" s="67">
        <f t="shared" si="38"/>
        <v>50.03715393649999</v>
      </c>
      <c r="AI39" s="67">
        <f t="shared" ref="AI39:BV39" si="39">SUM(AI31,AI37)</f>
        <v>53.396373594167002</v>
      </c>
      <c r="AJ39" s="67">
        <f t="shared" si="39"/>
        <v>72.051617027500001</v>
      </c>
      <c r="AK39" s="67">
        <f t="shared" si="39"/>
        <v>76.640318430000008</v>
      </c>
      <c r="AL39" s="67">
        <f t="shared" si="39"/>
        <v>77.912210509999994</v>
      </c>
      <c r="AM39" s="67">
        <f t="shared" si="39"/>
        <v>89.085605830000006</v>
      </c>
      <c r="AN39" s="67">
        <f t="shared" si="39"/>
        <v>82.529641489999989</v>
      </c>
      <c r="AO39" s="67">
        <f t="shared" si="39"/>
        <v>73.653012570892997</v>
      </c>
      <c r="AP39" s="67">
        <f t="shared" si="39"/>
        <v>84.934971910000002</v>
      </c>
      <c r="AQ39" s="67">
        <f t="shared" si="39"/>
        <v>106.17196801999998</v>
      </c>
      <c r="AR39" s="67">
        <f t="shared" si="39"/>
        <v>74.396152510000007</v>
      </c>
      <c r="AS39" s="71">
        <f t="shared" si="39"/>
        <v>102.80238674</v>
      </c>
      <c r="AT39" s="70">
        <f t="shared" si="39"/>
        <v>62.301704810000004</v>
      </c>
      <c r="AU39" s="70">
        <f t="shared" si="39"/>
        <v>72.219079000000008</v>
      </c>
      <c r="AV39" s="67">
        <f t="shared" si="39"/>
        <v>48.613596485714027</v>
      </c>
      <c r="AW39" s="67">
        <f t="shared" si="39"/>
        <v>42.619038491425002</v>
      </c>
      <c r="AX39" s="67">
        <f t="shared" si="39"/>
        <v>37.512431083124994</v>
      </c>
      <c r="AY39" s="67">
        <f t="shared" si="39"/>
        <v>53.522999999999996</v>
      </c>
      <c r="AZ39" s="67">
        <f t="shared" si="39"/>
        <v>35.915000000000006</v>
      </c>
      <c r="BA39" s="67">
        <f t="shared" si="39"/>
        <v>72.653639999999996</v>
      </c>
      <c r="BB39" s="67">
        <f t="shared" si="39"/>
        <v>65.221927000000008</v>
      </c>
      <c r="BC39" s="67">
        <f t="shared" si="39"/>
        <v>76.055182590000001</v>
      </c>
      <c r="BD39" s="67">
        <f t="shared" si="39"/>
        <v>67.014705599999999</v>
      </c>
      <c r="BE39" s="67">
        <f t="shared" si="39"/>
        <v>71.073647600000015</v>
      </c>
      <c r="BF39" s="67">
        <f t="shared" si="39"/>
        <v>81.169109910000017</v>
      </c>
      <c r="BG39" s="67">
        <f t="shared" si="39"/>
        <v>115.14999999999999</v>
      </c>
      <c r="BH39" s="67">
        <f t="shared" si="39"/>
        <v>121.90600000000002</v>
      </c>
      <c r="BI39" s="70">
        <f t="shared" si="39"/>
        <v>108.42799999999997</v>
      </c>
      <c r="BJ39" s="67">
        <f t="shared" si="39"/>
        <v>140.55600000000001</v>
      </c>
      <c r="BK39" s="67">
        <f t="shared" si="39"/>
        <v>114.70581927000009</v>
      </c>
      <c r="BL39" s="67">
        <f t="shared" si="39"/>
        <v>111.35248832000016</v>
      </c>
      <c r="BM39" s="67">
        <f t="shared" si="39"/>
        <v>122.34797571000007</v>
      </c>
      <c r="BN39" s="67">
        <f t="shared" si="39"/>
        <v>116.99861378000011</v>
      </c>
      <c r="BO39" s="67">
        <f t="shared" si="39"/>
        <v>120.41542404000012</v>
      </c>
      <c r="BP39" s="67">
        <f t="shared" si="39"/>
        <v>103.05236954000017</v>
      </c>
      <c r="BQ39" s="67">
        <f t="shared" si="39"/>
        <v>103.70220621999999</v>
      </c>
      <c r="BR39" s="67">
        <f t="shared" si="39"/>
        <v>113.53231296000013</v>
      </c>
      <c r="BS39" s="67">
        <f t="shared" si="39"/>
        <v>119.15660383000011</v>
      </c>
      <c r="BT39" s="67">
        <f t="shared" si="39"/>
        <v>90.622872050000012</v>
      </c>
      <c r="BU39" s="67">
        <f t="shared" si="39"/>
        <v>132.53402727866137</v>
      </c>
      <c r="BV39" s="67">
        <f t="shared" si="39"/>
        <v>77.378020984044042</v>
      </c>
      <c r="BW39" s="70">
        <f t="shared" ref="BW39:CE39" si="40">SUM(BW31,BW37)</f>
        <v>103.41086253079317</v>
      </c>
      <c r="BX39" s="70">
        <f t="shared" si="40"/>
        <v>118.30270219834446</v>
      </c>
      <c r="BY39" s="70">
        <f t="shared" si="40"/>
        <v>164.61959639257802</v>
      </c>
      <c r="BZ39" s="67">
        <f t="shared" si="40"/>
        <v>141.59427260183787</v>
      </c>
      <c r="CA39" s="67">
        <f t="shared" si="40"/>
        <v>362.76489042484502</v>
      </c>
      <c r="CB39" s="67">
        <f t="shared" si="40"/>
        <v>340.25672430907321</v>
      </c>
      <c r="CC39" s="295">
        <f t="shared" si="40"/>
        <v>398.21087750593864</v>
      </c>
      <c r="CD39" s="295">
        <f t="shared" si="40"/>
        <v>484.95472884828575</v>
      </c>
      <c r="CE39" s="295">
        <f t="shared" si="40"/>
        <v>754.30680120512568</v>
      </c>
      <c r="CF39" s="356">
        <f>SUM(CF31,CF37)</f>
        <v>537.20976348244653</v>
      </c>
      <c r="CG39" s="355"/>
      <c r="CH39" s="457"/>
      <c r="CI39" s="457"/>
      <c r="CJ39" s="457"/>
      <c r="CK39" s="457"/>
      <c r="CL39" s="457"/>
      <c r="CM39" s="457"/>
      <c r="CN39" s="457"/>
      <c r="CO39" s="457"/>
      <c r="CP39" s="457"/>
    </row>
    <row r="40" spans="1:95" s="425" customFormat="1" x14ac:dyDescent="0.2">
      <c r="A40" s="64"/>
      <c r="B40" s="65"/>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9"/>
      <c r="AE40" s="69"/>
      <c r="AF40" s="69"/>
      <c r="AG40" s="69"/>
      <c r="AH40" s="69"/>
      <c r="AI40" s="69"/>
      <c r="AJ40" s="66"/>
      <c r="AK40" s="68"/>
      <c r="AL40" s="66"/>
      <c r="AM40" s="69"/>
      <c r="AN40" s="66"/>
      <c r="AO40" s="66"/>
      <c r="AP40" s="66"/>
      <c r="AQ40" s="66"/>
      <c r="AR40" s="66"/>
      <c r="AS40" s="68"/>
      <c r="AT40" s="69"/>
      <c r="AU40" s="69"/>
      <c r="AV40" s="66"/>
      <c r="AW40" s="66"/>
      <c r="AX40" s="66"/>
      <c r="AY40" s="66"/>
      <c r="AZ40" s="66"/>
      <c r="BA40" s="66"/>
      <c r="BB40" s="66"/>
      <c r="BC40" s="66"/>
      <c r="BD40" s="66"/>
      <c r="BE40" s="66"/>
      <c r="BF40" s="66"/>
      <c r="BG40" s="66"/>
      <c r="BH40" s="66"/>
      <c r="BI40" s="69"/>
      <c r="BJ40" s="66"/>
      <c r="BK40" s="66"/>
      <c r="BL40" s="66"/>
      <c r="BM40" s="66"/>
      <c r="BN40" s="66"/>
      <c r="BO40" s="66"/>
      <c r="BP40" s="68"/>
      <c r="BQ40" s="66"/>
      <c r="BR40" s="68"/>
      <c r="BS40" s="66"/>
      <c r="BT40" s="66"/>
      <c r="BU40" s="66"/>
      <c r="BV40" s="66"/>
      <c r="BW40" s="69"/>
      <c r="BX40" s="69"/>
      <c r="BY40" s="69"/>
      <c r="BZ40" s="66"/>
      <c r="CA40" s="66"/>
      <c r="CB40" s="66"/>
      <c r="CC40" s="297"/>
      <c r="CD40" s="297"/>
      <c r="CE40" s="297"/>
      <c r="CF40" s="354"/>
      <c r="CG40" s="453"/>
      <c r="CH40" s="457"/>
      <c r="CI40" s="457"/>
      <c r="CJ40" s="457"/>
      <c r="CK40" s="457"/>
      <c r="CL40" s="457"/>
      <c r="CM40" s="457"/>
      <c r="CN40" s="457"/>
      <c r="CO40" s="457"/>
      <c r="CP40" s="457"/>
    </row>
    <row r="41" spans="1:95" x14ac:dyDescent="0.2">
      <c r="A41" s="253" t="s">
        <v>93</v>
      </c>
      <c r="B41" s="36"/>
      <c r="C41" s="37"/>
      <c r="D41" s="37"/>
      <c r="E41" s="37"/>
      <c r="F41" s="37">
        <v>0</v>
      </c>
      <c r="G41" s="37">
        <v>0</v>
      </c>
      <c r="H41" s="37">
        <v>-0.1</v>
      </c>
      <c r="I41" s="37">
        <v>0.1</v>
      </c>
      <c r="J41" s="37">
        <v>-0.1</v>
      </c>
      <c r="K41" s="37">
        <v>0</v>
      </c>
      <c r="L41" s="37"/>
      <c r="M41" s="37">
        <v>0</v>
      </c>
      <c r="N41" s="37">
        <v>0</v>
      </c>
      <c r="O41" s="37">
        <v>0</v>
      </c>
      <c r="P41" s="37">
        <v>0</v>
      </c>
      <c r="Q41" s="37">
        <v>0</v>
      </c>
      <c r="R41" s="37">
        <v>0</v>
      </c>
      <c r="S41" s="37">
        <v>0</v>
      </c>
      <c r="T41" s="37">
        <v>0</v>
      </c>
      <c r="U41" s="37">
        <v>0</v>
      </c>
      <c r="V41" s="37">
        <v>0.1</v>
      </c>
      <c r="W41" s="37">
        <v>0</v>
      </c>
      <c r="X41" s="37">
        <v>0</v>
      </c>
      <c r="Y41" s="37">
        <v>0</v>
      </c>
      <c r="Z41" s="37">
        <v>0</v>
      </c>
      <c r="AA41" s="37">
        <v>-0.5</v>
      </c>
      <c r="AB41" s="37">
        <v>0</v>
      </c>
      <c r="AC41" s="39">
        <v>0</v>
      </c>
      <c r="AD41" s="38">
        <v>-0.95</v>
      </c>
      <c r="AE41" s="38">
        <v>0</v>
      </c>
      <c r="AF41" s="38">
        <v>0</v>
      </c>
      <c r="AG41" s="38">
        <v>0</v>
      </c>
      <c r="AH41" s="38">
        <v>0</v>
      </c>
      <c r="AI41" s="38">
        <v>0</v>
      </c>
      <c r="AJ41" s="37">
        <v>0</v>
      </c>
      <c r="AK41" s="39">
        <v>0</v>
      </c>
      <c r="AL41" s="37">
        <v>0</v>
      </c>
      <c r="AM41" s="38">
        <v>0</v>
      </c>
      <c r="AN41" s="37">
        <v>0</v>
      </c>
      <c r="AO41" s="37">
        <v>0</v>
      </c>
      <c r="AP41" s="37">
        <v>0</v>
      </c>
      <c r="AQ41" s="37">
        <v>0</v>
      </c>
      <c r="AR41" s="37">
        <v>-6</v>
      </c>
      <c r="AS41" s="39">
        <v>0</v>
      </c>
      <c r="AT41" s="38">
        <v>0</v>
      </c>
      <c r="AU41" s="38">
        <v>0</v>
      </c>
      <c r="AV41" s="37">
        <v>0</v>
      </c>
      <c r="AW41" s="37">
        <v>-1</v>
      </c>
      <c r="AX41" s="37">
        <v>0</v>
      </c>
      <c r="AY41" s="37">
        <v>0</v>
      </c>
      <c r="AZ41" s="37">
        <v>0</v>
      </c>
      <c r="BA41" s="37">
        <v>0</v>
      </c>
      <c r="BB41" s="37">
        <v>-1</v>
      </c>
      <c r="BC41" s="37">
        <v>-0.1</v>
      </c>
      <c r="BD41" s="37">
        <v>-0.1</v>
      </c>
      <c r="BE41" s="37">
        <v>0.1</v>
      </c>
      <c r="BF41" s="37">
        <v>0.5</v>
      </c>
      <c r="BG41" s="37">
        <v>-0.100984</v>
      </c>
      <c r="BH41" s="37">
        <v>-0.21602199999999999</v>
      </c>
      <c r="BI41" s="38">
        <v>-4.5926000000000002E-2</v>
      </c>
      <c r="BJ41" s="37">
        <v>0.14727000000000001</v>
      </c>
      <c r="BK41" s="37">
        <v>-0.131101</v>
      </c>
      <c r="BL41" s="37">
        <v>-0.22164800000000001</v>
      </c>
      <c r="BM41" s="37">
        <v>-0.16992499999999999</v>
      </c>
      <c r="BN41" s="37">
        <v>1.7679E-2</v>
      </c>
      <c r="BO41" s="37">
        <v>0.215</v>
      </c>
      <c r="BP41" s="39">
        <v>7.0000000000000007E-2</v>
      </c>
      <c r="BQ41" s="37">
        <v>0.08</v>
      </c>
      <c r="BR41" s="39">
        <v>2.5288000000000001E-2</v>
      </c>
      <c r="BS41" s="37">
        <v>0.35199999999999998</v>
      </c>
      <c r="BT41" s="37">
        <v>-0.7</v>
      </c>
      <c r="BU41" s="37">
        <v>-0.438</v>
      </c>
      <c r="BV41" s="37">
        <v>-0.37414310000000001</v>
      </c>
      <c r="BW41" s="38">
        <v>-1.181427</v>
      </c>
      <c r="BX41" s="38">
        <v>1.6518256</v>
      </c>
      <c r="BY41" s="38">
        <v>-0.45436603999999908</v>
      </c>
      <c r="BZ41" s="37">
        <v>0.31376823999999998</v>
      </c>
      <c r="CA41" s="37">
        <v>0.52257983000000008</v>
      </c>
      <c r="CB41" s="37">
        <v>-4.9674577799999993</v>
      </c>
      <c r="CC41" s="292">
        <v>-0.410795470000001</v>
      </c>
      <c r="CD41" s="292">
        <v>0.98423378999999911</v>
      </c>
      <c r="CE41" s="292">
        <v>1.4349887600000015</v>
      </c>
      <c r="CF41" s="285">
        <v>-0.85933320000000113</v>
      </c>
      <c r="CH41" s="457"/>
      <c r="CI41" s="457"/>
      <c r="CJ41" s="457"/>
      <c r="CK41" s="457"/>
      <c r="CL41" s="457"/>
      <c r="CM41" s="457"/>
      <c r="CN41" s="457"/>
      <c r="CO41" s="457"/>
      <c r="CP41" s="457"/>
    </row>
    <row r="42" spans="1:95" x14ac:dyDescent="0.2">
      <c r="A42" s="254" t="s">
        <v>142</v>
      </c>
      <c r="B42" s="255"/>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80"/>
      <c r="AD42" s="79"/>
      <c r="AE42" s="79"/>
      <c r="AF42" s="79"/>
      <c r="AG42" s="79"/>
      <c r="AH42" s="79"/>
      <c r="AI42" s="79"/>
      <c r="AJ42" s="63"/>
      <c r="AK42" s="80"/>
      <c r="AL42" s="63"/>
      <c r="AM42" s="79"/>
      <c r="AN42" s="63"/>
      <c r="AO42" s="63"/>
      <c r="AP42" s="63"/>
      <c r="AQ42" s="63"/>
      <c r="AR42" s="63"/>
      <c r="AS42" s="80"/>
      <c r="AT42" s="79"/>
      <c r="AU42" s="79"/>
      <c r="AV42" s="63"/>
      <c r="AW42" s="63"/>
      <c r="AX42" s="63"/>
      <c r="AY42" s="63"/>
      <c r="AZ42" s="63"/>
      <c r="BA42" s="63"/>
      <c r="BB42" s="63"/>
      <c r="BC42" s="63"/>
      <c r="BD42" s="63"/>
      <c r="BE42" s="63"/>
      <c r="BF42" s="63"/>
      <c r="BG42" s="63"/>
      <c r="BH42" s="63"/>
      <c r="BI42" s="79"/>
      <c r="BJ42" s="63"/>
      <c r="BK42" s="63"/>
      <c r="BL42" s="63"/>
      <c r="BM42" s="63"/>
      <c r="BN42" s="63"/>
      <c r="BO42" s="63"/>
      <c r="BP42" s="80"/>
      <c r="BQ42" s="63"/>
      <c r="BR42" s="80"/>
      <c r="BS42" s="63"/>
      <c r="BT42" s="63"/>
      <c r="BU42" s="63"/>
      <c r="BV42" s="63">
        <v>-0.6552</v>
      </c>
      <c r="BW42" s="79">
        <v>-2.2652459999999999</v>
      </c>
      <c r="BX42" s="79">
        <v>-2.4945930000000001</v>
      </c>
      <c r="BY42" s="79">
        <v>-1.6407729999999998</v>
      </c>
      <c r="BZ42" s="63">
        <v>-1.8413349999999999</v>
      </c>
      <c r="CA42" s="63">
        <v>-2.393097</v>
      </c>
      <c r="CB42" s="63">
        <v>-2.095237</v>
      </c>
      <c r="CC42" s="296">
        <v>-1.339917</v>
      </c>
      <c r="CD42" s="296"/>
      <c r="CE42" s="296"/>
      <c r="CF42" s="272"/>
      <c r="CH42" s="457"/>
      <c r="CI42" s="457"/>
      <c r="CJ42" s="457"/>
      <c r="CK42" s="457"/>
      <c r="CL42" s="457"/>
      <c r="CM42" s="457"/>
      <c r="CN42" s="457"/>
      <c r="CO42" s="457"/>
      <c r="CP42" s="457"/>
    </row>
    <row r="43" spans="1:95" s="425" customFormat="1" x14ac:dyDescent="0.2">
      <c r="A43" s="64" t="s">
        <v>203</v>
      </c>
      <c r="B43" s="65"/>
      <c r="C43" s="66">
        <f t="shared" ref="C43:AH43" si="41">SUM(C39,C41)</f>
        <v>-0.96929999999999694</v>
      </c>
      <c r="D43" s="66">
        <f t="shared" si="41"/>
        <v>-2.1630000000000003</v>
      </c>
      <c r="E43" s="66">
        <f t="shared" si="41"/>
        <v>0.9809999999999981</v>
      </c>
      <c r="F43" s="66">
        <f t="shared" si="41"/>
        <v>11.544000000000004</v>
      </c>
      <c r="G43" s="66">
        <f t="shared" si="41"/>
        <v>2.4469999999999992</v>
      </c>
      <c r="H43" s="66">
        <f t="shared" si="41"/>
        <v>0.60400000000000065</v>
      </c>
      <c r="I43" s="66">
        <f t="shared" si="41"/>
        <v>8.2870000000000008</v>
      </c>
      <c r="J43" s="66">
        <f t="shared" si="41"/>
        <v>15.538000000000006</v>
      </c>
      <c r="K43" s="66">
        <f t="shared" si="41"/>
        <v>6.0710000000000015</v>
      </c>
      <c r="L43" s="66">
        <f t="shared" si="41"/>
        <v>12.229999999999997</v>
      </c>
      <c r="M43" s="66">
        <f t="shared" si="41"/>
        <v>19.915999999999997</v>
      </c>
      <c r="N43" s="66">
        <f t="shared" si="41"/>
        <v>20.657999999999994</v>
      </c>
      <c r="O43" s="66">
        <f t="shared" si="41"/>
        <v>37.734999999999999</v>
      </c>
      <c r="P43" s="66">
        <f t="shared" si="41"/>
        <v>24.166999999999998</v>
      </c>
      <c r="Q43" s="66">
        <f t="shared" si="41"/>
        <v>16.719000000000001</v>
      </c>
      <c r="R43" s="66">
        <f t="shared" si="41"/>
        <v>22.516999999999996</v>
      </c>
      <c r="S43" s="66">
        <f t="shared" si="41"/>
        <v>27.564999999999998</v>
      </c>
      <c r="T43" s="66">
        <f t="shared" si="41"/>
        <v>31.240000000000002</v>
      </c>
      <c r="U43" s="66">
        <f t="shared" si="41"/>
        <v>43.25800000000001</v>
      </c>
      <c r="V43" s="66">
        <f t="shared" si="41"/>
        <v>44.657000000000011</v>
      </c>
      <c r="W43" s="66">
        <f t="shared" si="41"/>
        <v>75.916999999999987</v>
      </c>
      <c r="X43" s="66">
        <f t="shared" si="41"/>
        <v>62.078000000000003</v>
      </c>
      <c r="Y43" s="66">
        <f t="shared" si="41"/>
        <v>46.413999999999987</v>
      </c>
      <c r="Z43" s="66">
        <f t="shared" si="41"/>
        <v>59.458000000000013</v>
      </c>
      <c r="AA43" s="66">
        <f t="shared" si="41"/>
        <v>76.593312159999982</v>
      </c>
      <c r="AB43" s="66">
        <f t="shared" si="41"/>
        <v>73.685869039999986</v>
      </c>
      <c r="AC43" s="66">
        <f t="shared" si="41"/>
        <v>75.791099898999988</v>
      </c>
      <c r="AD43" s="66">
        <f t="shared" si="41"/>
        <v>80.331779859999997</v>
      </c>
      <c r="AE43" s="66">
        <f t="shared" si="41"/>
        <v>68.813029199999988</v>
      </c>
      <c r="AF43" s="66">
        <f t="shared" si="41"/>
        <v>59.311964540000034</v>
      </c>
      <c r="AG43" s="66">
        <f t="shared" si="41"/>
        <v>61.334463799999988</v>
      </c>
      <c r="AH43" s="66">
        <f t="shared" si="41"/>
        <v>50.03715393649999</v>
      </c>
      <c r="AI43" s="66">
        <f t="shared" ref="AI43:BR43" si="42">SUM(AI39,AI41)</f>
        <v>53.396373594167002</v>
      </c>
      <c r="AJ43" s="66">
        <f t="shared" si="42"/>
        <v>72.051617027500001</v>
      </c>
      <c r="AK43" s="66">
        <f t="shared" si="42"/>
        <v>76.640318430000008</v>
      </c>
      <c r="AL43" s="66">
        <f t="shared" si="42"/>
        <v>77.912210509999994</v>
      </c>
      <c r="AM43" s="66">
        <f t="shared" si="42"/>
        <v>89.085605830000006</v>
      </c>
      <c r="AN43" s="66">
        <f t="shared" si="42"/>
        <v>82.529641489999989</v>
      </c>
      <c r="AO43" s="66">
        <f t="shared" si="42"/>
        <v>73.653012570892997</v>
      </c>
      <c r="AP43" s="66">
        <f t="shared" si="42"/>
        <v>84.934971910000002</v>
      </c>
      <c r="AQ43" s="66">
        <f t="shared" si="42"/>
        <v>106.17196801999998</v>
      </c>
      <c r="AR43" s="66">
        <f t="shared" si="42"/>
        <v>68.396152510000007</v>
      </c>
      <c r="AS43" s="68">
        <f t="shared" si="42"/>
        <v>102.80238674</v>
      </c>
      <c r="AT43" s="69">
        <f t="shared" si="42"/>
        <v>62.301704810000004</v>
      </c>
      <c r="AU43" s="69">
        <f t="shared" si="42"/>
        <v>72.219079000000008</v>
      </c>
      <c r="AV43" s="66">
        <f t="shared" si="42"/>
        <v>48.613596485714027</v>
      </c>
      <c r="AW43" s="66">
        <f t="shared" si="42"/>
        <v>41.619038491425002</v>
      </c>
      <c r="AX43" s="66">
        <f t="shared" si="42"/>
        <v>37.512431083124994</v>
      </c>
      <c r="AY43" s="66">
        <f t="shared" si="42"/>
        <v>53.522999999999996</v>
      </c>
      <c r="AZ43" s="66">
        <f t="shared" si="42"/>
        <v>35.915000000000006</v>
      </c>
      <c r="BA43" s="66">
        <f t="shared" si="42"/>
        <v>72.653639999999996</v>
      </c>
      <c r="BB43" s="66">
        <f t="shared" si="42"/>
        <v>64.221927000000008</v>
      </c>
      <c r="BC43" s="66">
        <f t="shared" si="42"/>
        <v>75.955182590000007</v>
      </c>
      <c r="BD43" s="66">
        <f t="shared" si="42"/>
        <v>66.914705600000005</v>
      </c>
      <c r="BE43" s="66">
        <f t="shared" si="42"/>
        <v>71.17364760000001</v>
      </c>
      <c r="BF43" s="66">
        <f t="shared" si="42"/>
        <v>81.669109910000017</v>
      </c>
      <c r="BG43" s="66">
        <f t="shared" si="42"/>
        <v>115.04901599999999</v>
      </c>
      <c r="BH43" s="66">
        <f t="shared" si="42"/>
        <v>121.68997800000002</v>
      </c>
      <c r="BI43" s="69">
        <f t="shared" si="42"/>
        <v>108.38207399999997</v>
      </c>
      <c r="BJ43" s="66">
        <f t="shared" si="42"/>
        <v>140.70327</v>
      </c>
      <c r="BK43" s="66">
        <f t="shared" si="42"/>
        <v>114.57471827000009</v>
      </c>
      <c r="BL43" s="66">
        <f t="shared" si="42"/>
        <v>111.13084032000016</v>
      </c>
      <c r="BM43" s="66">
        <f t="shared" si="42"/>
        <v>122.17805071000006</v>
      </c>
      <c r="BN43" s="66">
        <f t="shared" si="42"/>
        <v>117.01629278000011</v>
      </c>
      <c r="BO43" s="66">
        <f t="shared" si="42"/>
        <v>120.63042404000012</v>
      </c>
      <c r="BP43" s="68">
        <f t="shared" si="42"/>
        <v>103.12236954000016</v>
      </c>
      <c r="BQ43" s="66">
        <f t="shared" si="42"/>
        <v>103.78220621999999</v>
      </c>
      <c r="BR43" s="66">
        <f t="shared" si="42"/>
        <v>113.55760096000013</v>
      </c>
      <c r="BS43" s="66">
        <v>119.50700000000001</v>
      </c>
      <c r="BT43" s="66">
        <v>89.92</v>
      </c>
      <c r="BU43" s="66">
        <f>SUM(BU39,BU41)</f>
        <v>132.09602727866138</v>
      </c>
      <c r="BV43" s="66">
        <f t="shared" ref="BV43:BX43" si="43">SUM(BV39,BV41,BV42)</f>
        <v>76.348677884044051</v>
      </c>
      <c r="BW43" s="69">
        <f t="shared" si="43"/>
        <v>99.964189530793163</v>
      </c>
      <c r="BX43" s="69">
        <f t="shared" si="43"/>
        <v>117.45993479834446</v>
      </c>
      <c r="BY43" s="69">
        <f t="shared" ref="BY43:CE43" si="44">SUM(BY39,BY41,BY42)</f>
        <v>162.52445735257803</v>
      </c>
      <c r="BZ43" s="66">
        <f t="shared" si="44"/>
        <v>140.06670584183789</v>
      </c>
      <c r="CA43" s="66">
        <f t="shared" si="44"/>
        <v>360.89437325484499</v>
      </c>
      <c r="CB43" s="66">
        <f t="shared" si="44"/>
        <v>333.19402952907319</v>
      </c>
      <c r="CC43" s="297">
        <f t="shared" si="44"/>
        <v>396.46016503593864</v>
      </c>
      <c r="CD43" s="297">
        <f t="shared" si="44"/>
        <v>485.93896263828577</v>
      </c>
      <c r="CE43" s="297">
        <f t="shared" si="44"/>
        <v>755.74178996512569</v>
      </c>
      <c r="CF43" s="354">
        <f t="shared" ref="CF43" si="45">SUM(CF39,CF41,CF42)</f>
        <v>536.3504302824465</v>
      </c>
      <c r="CG43" s="335"/>
      <c r="CH43" s="457"/>
      <c r="CI43" s="457"/>
      <c r="CJ43" s="457"/>
      <c r="CK43" s="457"/>
      <c r="CL43" s="457"/>
      <c r="CM43" s="457"/>
      <c r="CN43" s="457"/>
      <c r="CO43" s="457"/>
      <c r="CP43" s="457"/>
    </row>
    <row r="44" spans="1:95" s="426" customFormat="1" x14ac:dyDescent="0.2">
      <c r="A44" s="317" t="s">
        <v>151</v>
      </c>
      <c r="B44" s="318"/>
      <c r="C44" s="319">
        <f t="shared" ref="C44:AH44" si="46">+C31+C37+C41+C42</f>
        <v>-0.96929999999999694</v>
      </c>
      <c r="D44" s="319">
        <f t="shared" si="46"/>
        <v>-2.1630000000000003</v>
      </c>
      <c r="E44" s="319">
        <f t="shared" si="46"/>
        <v>0.9809999999999981</v>
      </c>
      <c r="F44" s="319">
        <f t="shared" si="46"/>
        <v>11.544000000000004</v>
      </c>
      <c r="G44" s="319">
        <f t="shared" si="46"/>
        <v>2.4469999999999992</v>
      </c>
      <c r="H44" s="319">
        <f t="shared" si="46"/>
        <v>0.60400000000000065</v>
      </c>
      <c r="I44" s="319">
        <f t="shared" si="46"/>
        <v>8.2870000000000008</v>
      </c>
      <c r="J44" s="319">
        <f t="shared" si="46"/>
        <v>15.538000000000006</v>
      </c>
      <c r="K44" s="319">
        <f t="shared" si="46"/>
        <v>6.0710000000000015</v>
      </c>
      <c r="L44" s="319">
        <f t="shared" si="46"/>
        <v>12.229999999999997</v>
      </c>
      <c r="M44" s="319">
        <f t="shared" si="46"/>
        <v>19.915999999999997</v>
      </c>
      <c r="N44" s="319">
        <f t="shared" si="46"/>
        <v>20.657999999999994</v>
      </c>
      <c r="O44" s="319">
        <f t="shared" si="46"/>
        <v>37.734999999999999</v>
      </c>
      <c r="P44" s="319">
        <f t="shared" si="46"/>
        <v>24.166999999999998</v>
      </c>
      <c r="Q44" s="319">
        <f t="shared" si="46"/>
        <v>16.719000000000001</v>
      </c>
      <c r="R44" s="319">
        <f t="shared" si="46"/>
        <v>22.516999999999996</v>
      </c>
      <c r="S44" s="319">
        <f t="shared" si="46"/>
        <v>27.564999999999998</v>
      </c>
      <c r="T44" s="319">
        <f t="shared" si="46"/>
        <v>31.240000000000002</v>
      </c>
      <c r="U44" s="319">
        <f t="shared" si="46"/>
        <v>43.25800000000001</v>
      </c>
      <c r="V44" s="319">
        <f t="shared" si="46"/>
        <v>44.657000000000011</v>
      </c>
      <c r="W44" s="319">
        <f t="shared" si="46"/>
        <v>75.916999999999987</v>
      </c>
      <c r="X44" s="319">
        <f t="shared" si="46"/>
        <v>62.078000000000003</v>
      </c>
      <c r="Y44" s="319">
        <f t="shared" si="46"/>
        <v>46.413999999999987</v>
      </c>
      <c r="Z44" s="319">
        <f t="shared" si="46"/>
        <v>59.458000000000013</v>
      </c>
      <c r="AA44" s="319">
        <f t="shared" si="46"/>
        <v>76.593312159999982</v>
      </c>
      <c r="AB44" s="319">
        <f t="shared" si="46"/>
        <v>73.685869039999986</v>
      </c>
      <c r="AC44" s="320">
        <f t="shared" si="46"/>
        <v>75.791099898999988</v>
      </c>
      <c r="AD44" s="320">
        <f t="shared" si="46"/>
        <v>80.331779859999997</v>
      </c>
      <c r="AE44" s="320">
        <f t="shared" si="46"/>
        <v>68.813029199999988</v>
      </c>
      <c r="AF44" s="320">
        <f t="shared" si="46"/>
        <v>59.311964540000034</v>
      </c>
      <c r="AG44" s="320">
        <f t="shared" si="46"/>
        <v>61.334463799999988</v>
      </c>
      <c r="AH44" s="320">
        <f t="shared" si="46"/>
        <v>50.03715393649999</v>
      </c>
      <c r="AI44" s="320">
        <f t="shared" ref="AI44:BN44" si="47">+AI31+AI37+AI41+AI42</f>
        <v>53.396373594167002</v>
      </c>
      <c r="AJ44" s="319">
        <f t="shared" si="47"/>
        <v>72.051617027500001</v>
      </c>
      <c r="AK44" s="321">
        <f t="shared" si="47"/>
        <v>76.640318430000008</v>
      </c>
      <c r="AL44" s="319">
        <f t="shared" si="47"/>
        <v>77.912210509999994</v>
      </c>
      <c r="AM44" s="320">
        <f t="shared" si="47"/>
        <v>89.085605830000006</v>
      </c>
      <c r="AN44" s="319">
        <f t="shared" si="47"/>
        <v>82.529641489999989</v>
      </c>
      <c r="AO44" s="319">
        <f t="shared" si="47"/>
        <v>73.653012570892997</v>
      </c>
      <c r="AP44" s="319">
        <f t="shared" si="47"/>
        <v>84.934971910000002</v>
      </c>
      <c r="AQ44" s="319">
        <f t="shared" si="47"/>
        <v>106.17196801999998</v>
      </c>
      <c r="AR44" s="319">
        <f t="shared" si="47"/>
        <v>68.396152510000007</v>
      </c>
      <c r="AS44" s="321">
        <f t="shared" si="47"/>
        <v>102.80238674</v>
      </c>
      <c r="AT44" s="320">
        <f t="shared" si="47"/>
        <v>62.301704810000004</v>
      </c>
      <c r="AU44" s="320">
        <f t="shared" si="47"/>
        <v>72.219079000000008</v>
      </c>
      <c r="AV44" s="319">
        <f t="shared" si="47"/>
        <v>48.613596485714027</v>
      </c>
      <c r="AW44" s="319">
        <f t="shared" si="47"/>
        <v>41.619038491425002</v>
      </c>
      <c r="AX44" s="319">
        <f t="shared" si="47"/>
        <v>37.512431083124994</v>
      </c>
      <c r="AY44" s="319">
        <f t="shared" si="47"/>
        <v>53.522999999999996</v>
      </c>
      <c r="AZ44" s="319">
        <f t="shared" si="47"/>
        <v>35.915000000000006</v>
      </c>
      <c r="BA44" s="319">
        <f t="shared" si="47"/>
        <v>72.653639999999996</v>
      </c>
      <c r="BB44" s="319">
        <f t="shared" si="47"/>
        <v>64.221927000000008</v>
      </c>
      <c r="BC44" s="319">
        <f t="shared" si="47"/>
        <v>75.955182590000007</v>
      </c>
      <c r="BD44" s="319">
        <f t="shared" si="47"/>
        <v>66.914705600000005</v>
      </c>
      <c r="BE44" s="319">
        <f t="shared" si="47"/>
        <v>71.17364760000001</v>
      </c>
      <c r="BF44" s="319">
        <f t="shared" si="47"/>
        <v>81.669109910000017</v>
      </c>
      <c r="BG44" s="319">
        <f t="shared" si="47"/>
        <v>115.04901599999999</v>
      </c>
      <c r="BH44" s="319">
        <f t="shared" si="47"/>
        <v>121.68997800000002</v>
      </c>
      <c r="BI44" s="320">
        <f t="shared" si="47"/>
        <v>108.38207399999997</v>
      </c>
      <c r="BJ44" s="319">
        <f t="shared" si="47"/>
        <v>140.70327</v>
      </c>
      <c r="BK44" s="319">
        <f t="shared" si="47"/>
        <v>114.57471827000009</v>
      </c>
      <c r="BL44" s="319">
        <f t="shared" si="47"/>
        <v>111.13084032000016</v>
      </c>
      <c r="BM44" s="319">
        <f t="shared" si="47"/>
        <v>122.17805071000006</v>
      </c>
      <c r="BN44" s="319">
        <f t="shared" si="47"/>
        <v>117.01629278000011</v>
      </c>
      <c r="BO44" s="319">
        <f t="shared" ref="BO44:BU44" si="48">+BO31+BO37+BO41+BO42</f>
        <v>120.63042404000012</v>
      </c>
      <c r="BP44" s="321">
        <f t="shared" si="48"/>
        <v>103.12236954000016</v>
      </c>
      <c r="BQ44" s="319">
        <f t="shared" si="48"/>
        <v>103.78220621999999</v>
      </c>
      <c r="BR44" s="321">
        <f t="shared" si="48"/>
        <v>113.55760096000013</v>
      </c>
      <c r="BS44" s="319">
        <f t="shared" si="48"/>
        <v>119.50860383000011</v>
      </c>
      <c r="BT44" s="319">
        <f t="shared" si="48"/>
        <v>89.922872050000009</v>
      </c>
      <c r="BU44" s="319">
        <f t="shared" si="48"/>
        <v>132.09602727866138</v>
      </c>
      <c r="BV44" s="319">
        <f>+BV31+(BV37+35)+BV41+BV42</f>
        <v>111.34867788404405</v>
      </c>
      <c r="BW44" s="320">
        <f>+BW31+BW37+BW41+BW42</f>
        <v>99.964189530793163</v>
      </c>
      <c r="BX44" s="320">
        <f>+BX31+BX37+BX41+BX42</f>
        <v>117.45993479834446</v>
      </c>
      <c r="BY44" s="320">
        <f>+BY31+BY37+BY41+BY42</f>
        <v>162.52445735257803</v>
      </c>
      <c r="BZ44" s="319">
        <f>+BZ31+(BZ37+8.3)+BZ41+BZ42</f>
        <v>148.3667058418379</v>
      </c>
      <c r="CA44" s="319">
        <f>+CA31+CA37+CA41+CA42</f>
        <v>360.89437325484499</v>
      </c>
      <c r="CB44" s="319">
        <f>+CB31+CB37+CB41+CB42</f>
        <v>333.19402952907319</v>
      </c>
      <c r="CC44" s="322">
        <f>+CC31+(CC37+13)+CC41+CC42</f>
        <v>409.46016503593864</v>
      </c>
      <c r="CD44" s="322">
        <f>+(CD31-63)+(CD37+16)+CD41+CD42</f>
        <v>438.93896263828577</v>
      </c>
      <c r="CE44" s="319">
        <f>+CE31+(CE37-10)+CE41+CE42</f>
        <v>745.74178996512569</v>
      </c>
      <c r="CF44" s="495">
        <f>+CF31+(CF37)+CF41+CF42</f>
        <v>536.3504302824465</v>
      </c>
      <c r="CG44" s="456"/>
      <c r="CH44" s="457"/>
      <c r="CI44" s="457"/>
      <c r="CJ44" s="457"/>
      <c r="CK44" s="457"/>
      <c r="CL44" s="457"/>
      <c r="CM44" s="457"/>
      <c r="CN44" s="457"/>
      <c r="CO44" s="457"/>
      <c r="CP44" s="457"/>
    </row>
    <row r="45" spans="1:95" s="425" customFormat="1" ht="14.45" customHeight="1" x14ac:dyDescent="0.2">
      <c r="A45" s="64"/>
      <c r="B45" s="6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9"/>
      <c r="AD45" s="69"/>
      <c r="AE45" s="69"/>
      <c r="AF45" s="69"/>
      <c r="AG45" s="69"/>
      <c r="AH45" s="69"/>
      <c r="AI45" s="69"/>
      <c r="AJ45" s="66"/>
      <c r="AK45" s="68"/>
      <c r="AL45" s="66"/>
      <c r="AM45" s="69"/>
      <c r="AN45" s="66"/>
      <c r="AO45" s="66"/>
      <c r="AP45" s="66"/>
      <c r="AQ45" s="66"/>
      <c r="AR45" s="66"/>
      <c r="AS45" s="68"/>
      <c r="AT45" s="69"/>
      <c r="AU45" s="69"/>
      <c r="AV45" s="66"/>
      <c r="AW45" s="66"/>
      <c r="AX45" s="66"/>
      <c r="AY45" s="66"/>
      <c r="AZ45" s="66"/>
      <c r="BA45" s="66"/>
      <c r="BB45" s="66"/>
      <c r="BC45" s="66"/>
      <c r="BD45" s="66"/>
      <c r="BE45" s="66"/>
      <c r="BF45" s="66"/>
      <c r="BG45" s="66"/>
      <c r="BH45" s="66"/>
      <c r="BI45" s="29"/>
      <c r="BJ45" s="28"/>
      <c r="BK45" s="28"/>
      <c r="BL45" s="28"/>
      <c r="BM45" s="28"/>
      <c r="BN45" s="28"/>
      <c r="BO45" s="28"/>
      <c r="BP45" s="7"/>
      <c r="BQ45" s="28"/>
      <c r="BR45" s="7"/>
      <c r="BS45" s="28"/>
      <c r="BT45" s="28"/>
      <c r="BU45" s="28"/>
      <c r="BV45" s="28"/>
      <c r="BW45" s="29"/>
      <c r="BX45" s="29"/>
      <c r="BY45" s="29"/>
      <c r="BZ45" s="28"/>
      <c r="CA45" s="28"/>
      <c r="CB45" s="28"/>
      <c r="CC45" s="291"/>
      <c r="CD45" s="291"/>
      <c r="CE45" s="291"/>
      <c r="CF45" s="268"/>
      <c r="CG45" s="453"/>
      <c r="CH45" s="457"/>
      <c r="CI45" s="457"/>
      <c r="CJ45" s="457"/>
      <c r="CK45" s="457"/>
      <c r="CL45" s="457"/>
      <c r="CM45" s="457"/>
      <c r="CN45" s="457"/>
      <c r="CO45" s="457"/>
      <c r="CP45" s="457"/>
    </row>
    <row r="46" spans="1:95" x14ac:dyDescent="0.2">
      <c r="A46" s="10" t="s">
        <v>152</v>
      </c>
      <c r="B46" s="11"/>
      <c r="C46" s="28">
        <f t="shared" ref="C46:R46" si="49">-C43*0.28</f>
        <v>0.27140399999999915</v>
      </c>
      <c r="D46" s="28">
        <f t="shared" si="49"/>
        <v>0.60564000000000018</v>
      </c>
      <c r="E46" s="28">
        <f t="shared" si="49"/>
        <v>-0.27467999999999948</v>
      </c>
      <c r="F46" s="28">
        <f t="shared" si="49"/>
        <v>-3.2323200000000014</v>
      </c>
      <c r="G46" s="28">
        <f t="shared" si="49"/>
        <v>-0.68515999999999988</v>
      </c>
      <c r="H46" s="28">
        <f t="shared" si="49"/>
        <v>-0.16912000000000019</v>
      </c>
      <c r="I46" s="28">
        <f t="shared" si="49"/>
        <v>-2.3203600000000004</v>
      </c>
      <c r="J46" s="28">
        <f t="shared" si="49"/>
        <v>-4.3506400000000021</v>
      </c>
      <c r="K46" s="28">
        <f t="shared" si="49"/>
        <v>-1.6998800000000005</v>
      </c>
      <c r="L46" s="28">
        <f t="shared" si="49"/>
        <v>-3.4243999999999994</v>
      </c>
      <c r="M46" s="28">
        <f t="shared" si="49"/>
        <v>-5.5764799999999992</v>
      </c>
      <c r="N46" s="28">
        <f t="shared" si="49"/>
        <v>-5.7842399999999987</v>
      </c>
      <c r="O46" s="28">
        <f t="shared" si="49"/>
        <v>-10.565800000000001</v>
      </c>
      <c r="P46" s="28">
        <f t="shared" si="49"/>
        <v>-6.7667599999999997</v>
      </c>
      <c r="Q46" s="28">
        <f t="shared" si="49"/>
        <v>-4.6813200000000004</v>
      </c>
      <c r="R46" s="28">
        <f t="shared" si="49"/>
        <v>-6.304759999999999</v>
      </c>
      <c r="S46" s="28">
        <v>-7.7649999999999997</v>
      </c>
      <c r="T46" s="28">
        <v>-9.1519999999999992</v>
      </c>
      <c r="U46" s="28">
        <v>-11.677</v>
      </c>
      <c r="V46" s="28">
        <v>-12.166</v>
      </c>
      <c r="W46" s="28">
        <v>-20.8</v>
      </c>
      <c r="X46" s="28">
        <v>-16.8</v>
      </c>
      <c r="Y46" s="28">
        <v>-12.7</v>
      </c>
      <c r="Z46" s="28">
        <v>-5.5</v>
      </c>
      <c r="AA46" s="28">
        <v>-20.5</v>
      </c>
      <c r="AB46" s="28">
        <v>-19</v>
      </c>
      <c r="AC46" s="29">
        <v>-19</v>
      </c>
      <c r="AD46" s="29">
        <v>-15.9</v>
      </c>
      <c r="AE46" s="29">
        <v>-16</v>
      </c>
      <c r="AF46" s="29">
        <v>-14</v>
      </c>
      <c r="AG46" s="29">
        <v>-13</v>
      </c>
      <c r="AH46" s="29">
        <v>-11</v>
      </c>
      <c r="AI46" s="29">
        <v>-8.8000000000000007</v>
      </c>
      <c r="AJ46" s="28">
        <v>-12</v>
      </c>
      <c r="AK46" s="7">
        <v>-17</v>
      </c>
      <c r="AL46" s="28">
        <v>-14</v>
      </c>
      <c r="AM46" s="29">
        <v>-16</v>
      </c>
      <c r="AN46" s="28">
        <v>-15</v>
      </c>
      <c r="AO46" s="28">
        <v>-13</v>
      </c>
      <c r="AP46" s="28">
        <v>-16</v>
      </c>
      <c r="AQ46" s="28">
        <v>-17</v>
      </c>
      <c r="AR46" s="28">
        <v>-11</v>
      </c>
      <c r="AS46" s="7">
        <v>-15</v>
      </c>
      <c r="AT46" s="29">
        <v>-7</v>
      </c>
      <c r="AU46" s="29">
        <v>-12</v>
      </c>
      <c r="AV46" s="28">
        <v>-10</v>
      </c>
      <c r="AW46" s="28">
        <v>-10</v>
      </c>
      <c r="AX46" s="28">
        <v>-8</v>
      </c>
      <c r="AY46" s="28">
        <v>-9</v>
      </c>
      <c r="AZ46" s="28">
        <v>-3</v>
      </c>
      <c r="BA46" s="28">
        <v>-11</v>
      </c>
      <c r="BB46" s="28">
        <v>-10</v>
      </c>
      <c r="BC46" s="28">
        <v>-10.7</v>
      </c>
      <c r="BD46" s="28">
        <v>-11.43</v>
      </c>
      <c r="BE46" s="28">
        <v>-10.6</v>
      </c>
      <c r="BF46" s="28">
        <v>-13.4</v>
      </c>
      <c r="BG46" s="28">
        <v>-16</v>
      </c>
      <c r="BH46" s="28">
        <v>-17</v>
      </c>
      <c r="BI46" s="29">
        <v>-14.7</v>
      </c>
      <c r="BJ46" s="28">
        <v>-22</v>
      </c>
      <c r="BK46" s="28">
        <v>-16</v>
      </c>
      <c r="BL46" s="28">
        <v>-17</v>
      </c>
      <c r="BM46" s="28">
        <v>-17</v>
      </c>
      <c r="BN46" s="28">
        <v>-16</v>
      </c>
      <c r="BO46" s="28">
        <v>-17.399999999999999</v>
      </c>
      <c r="BP46" s="7">
        <v>-14.6</v>
      </c>
      <c r="BQ46" s="28">
        <v>-15.048</v>
      </c>
      <c r="BR46" s="7">
        <v>-15.504</v>
      </c>
      <c r="BS46" s="28">
        <v>-15.88</v>
      </c>
      <c r="BT46" s="28">
        <v>-10.694000000000001</v>
      </c>
      <c r="BU46" s="28">
        <v>-25.759</v>
      </c>
      <c r="BV46" s="28">
        <v>-16.463508829999999</v>
      </c>
      <c r="BW46" s="29">
        <v>-12.955755999999999</v>
      </c>
      <c r="BX46" s="29">
        <v>-16.35974903</v>
      </c>
      <c r="BY46" s="29">
        <v>-24.768516339999998</v>
      </c>
      <c r="BZ46" s="28">
        <v>-18.999080660000001</v>
      </c>
      <c r="CA46" s="28">
        <v>-56.157025950000005</v>
      </c>
      <c r="CB46" s="28">
        <v>-52.473214210000002</v>
      </c>
      <c r="CC46" s="291">
        <v>-65.333903609999993</v>
      </c>
      <c r="CD46" s="291">
        <v>-67.920333169999978</v>
      </c>
      <c r="CE46" s="291">
        <v>-124.05572120999999</v>
      </c>
      <c r="CF46" s="352">
        <v>-85.719240070000012</v>
      </c>
      <c r="CG46" s="461"/>
      <c r="CH46" s="457"/>
      <c r="CI46" s="457"/>
      <c r="CJ46" s="457"/>
      <c r="CK46" s="457"/>
      <c r="CL46" s="457"/>
      <c r="CM46" s="457"/>
      <c r="CN46" s="457"/>
      <c r="CO46" s="457"/>
      <c r="CP46" s="457"/>
      <c r="CQ46" s="103"/>
    </row>
    <row r="47" spans="1:95" s="425" customFormat="1" x14ac:dyDescent="0.2">
      <c r="A47" s="8" t="s">
        <v>156</v>
      </c>
      <c r="B47" s="9"/>
      <c r="C47" s="67">
        <f t="shared" ref="C47:AH47" si="50">+C43+C46</f>
        <v>-0.69789599999999785</v>
      </c>
      <c r="D47" s="67">
        <f t="shared" si="50"/>
        <v>-1.5573600000000001</v>
      </c>
      <c r="E47" s="67">
        <f t="shared" si="50"/>
        <v>0.70631999999999862</v>
      </c>
      <c r="F47" s="67">
        <f t="shared" si="50"/>
        <v>8.3116800000000026</v>
      </c>
      <c r="G47" s="67">
        <f t="shared" si="50"/>
        <v>1.7618399999999994</v>
      </c>
      <c r="H47" s="67">
        <f t="shared" si="50"/>
        <v>0.43488000000000049</v>
      </c>
      <c r="I47" s="67">
        <f t="shared" si="50"/>
        <v>5.9666399999999999</v>
      </c>
      <c r="J47" s="67">
        <f t="shared" si="50"/>
        <v>11.187360000000004</v>
      </c>
      <c r="K47" s="67">
        <f t="shared" si="50"/>
        <v>4.3711200000000012</v>
      </c>
      <c r="L47" s="67">
        <f t="shared" si="50"/>
        <v>8.8055999999999983</v>
      </c>
      <c r="M47" s="67">
        <f t="shared" si="50"/>
        <v>14.339519999999997</v>
      </c>
      <c r="N47" s="67">
        <f t="shared" si="50"/>
        <v>14.873759999999995</v>
      </c>
      <c r="O47" s="67">
        <f t="shared" si="50"/>
        <v>27.169199999999996</v>
      </c>
      <c r="P47" s="67">
        <f t="shared" si="50"/>
        <v>17.400239999999997</v>
      </c>
      <c r="Q47" s="67">
        <f t="shared" si="50"/>
        <v>12.037680000000002</v>
      </c>
      <c r="R47" s="67">
        <f t="shared" si="50"/>
        <v>16.212239999999998</v>
      </c>
      <c r="S47" s="67">
        <f t="shared" si="50"/>
        <v>19.799999999999997</v>
      </c>
      <c r="T47" s="67">
        <f t="shared" si="50"/>
        <v>22.088000000000001</v>
      </c>
      <c r="U47" s="67">
        <f t="shared" si="50"/>
        <v>31.58100000000001</v>
      </c>
      <c r="V47" s="67">
        <f t="shared" si="50"/>
        <v>32.491000000000014</v>
      </c>
      <c r="W47" s="67">
        <f t="shared" si="50"/>
        <v>55.11699999999999</v>
      </c>
      <c r="X47" s="67">
        <f t="shared" si="50"/>
        <v>45.278000000000006</v>
      </c>
      <c r="Y47" s="67">
        <f t="shared" si="50"/>
        <v>33.713999999999984</v>
      </c>
      <c r="Z47" s="67">
        <f t="shared" si="50"/>
        <v>53.958000000000013</v>
      </c>
      <c r="AA47" s="67">
        <f t="shared" si="50"/>
        <v>56.093312159999982</v>
      </c>
      <c r="AB47" s="67">
        <f t="shared" si="50"/>
        <v>54.685869039999986</v>
      </c>
      <c r="AC47" s="71">
        <f t="shared" si="50"/>
        <v>56.791099898999988</v>
      </c>
      <c r="AD47" s="70">
        <f t="shared" si="50"/>
        <v>64.431779859999992</v>
      </c>
      <c r="AE47" s="70">
        <f t="shared" si="50"/>
        <v>52.813029199999988</v>
      </c>
      <c r="AF47" s="70">
        <f t="shared" si="50"/>
        <v>45.311964540000034</v>
      </c>
      <c r="AG47" s="70">
        <f t="shared" si="50"/>
        <v>48.334463799999988</v>
      </c>
      <c r="AH47" s="70">
        <f t="shared" si="50"/>
        <v>39.03715393649999</v>
      </c>
      <c r="AI47" s="70">
        <f t="shared" ref="AI47:BN47" si="51">+AI43+AI46</f>
        <v>44.596373594167005</v>
      </c>
      <c r="AJ47" s="67">
        <f t="shared" si="51"/>
        <v>60.051617027500001</v>
      </c>
      <c r="AK47" s="70">
        <f t="shared" si="51"/>
        <v>59.640318430000008</v>
      </c>
      <c r="AL47" s="67">
        <f t="shared" si="51"/>
        <v>63.912210509999994</v>
      </c>
      <c r="AM47" s="70">
        <f t="shared" si="51"/>
        <v>73.085605830000006</v>
      </c>
      <c r="AN47" s="67">
        <f t="shared" si="51"/>
        <v>67.529641489999989</v>
      </c>
      <c r="AO47" s="67">
        <f t="shared" si="51"/>
        <v>60.653012570892997</v>
      </c>
      <c r="AP47" s="67">
        <f t="shared" si="51"/>
        <v>68.934971910000002</v>
      </c>
      <c r="AQ47" s="67">
        <f t="shared" si="51"/>
        <v>89.17196801999998</v>
      </c>
      <c r="AR47" s="67">
        <f t="shared" si="51"/>
        <v>57.396152510000007</v>
      </c>
      <c r="AS47" s="71">
        <f t="shared" si="51"/>
        <v>87.802386740000003</v>
      </c>
      <c r="AT47" s="70">
        <f t="shared" si="51"/>
        <v>55.301704810000004</v>
      </c>
      <c r="AU47" s="70">
        <f t="shared" si="51"/>
        <v>60.219079000000008</v>
      </c>
      <c r="AV47" s="67">
        <f t="shared" si="51"/>
        <v>38.613596485714027</v>
      </c>
      <c r="AW47" s="67">
        <f t="shared" si="51"/>
        <v>31.619038491425002</v>
      </c>
      <c r="AX47" s="67">
        <f t="shared" si="51"/>
        <v>29.512431083124994</v>
      </c>
      <c r="AY47" s="67">
        <f t="shared" si="51"/>
        <v>44.522999999999996</v>
      </c>
      <c r="AZ47" s="67">
        <f t="shared" si="51"/>
        <v>32.915000000000006</v>
      </c>
      <c r="BA47" s="67">
        <f t="shared" si="51"/>
        <v>61.653639999999996</v>
      </c>
      <c r="BB47" s="67">
        <f t="shared" si="51"/>
        <v>54.221927000000008</v>
      </c>
      <c r="BC47" s="67">
        <f t="shared" si="51"/>
        <v>65.255182590000004</v>
      </c>
      <c r="BD47" s="67">
        <f t="shared" si="51"/>
        <v>55.484705600000005</v>
      </c>
      <c r="BE47" s="67">
        <f t="shared" si="51"/>
        <v>60.573647600000008</v>
      </c>
      <c r="BF47" s="67">
        <f t="shared" si="51"/>
        <v>68.269109910000012</v>
      </c>
      <c r="BG47" s="67">
        <f t="shared" si="51"/>
        <v>99.049015999999995</v>
      </c>
      <c r="BH47" s="67">
        <f t="shared" si="51"/>
        <v>104.68997800000002</v>
      </c>
      <c r="BI47" s="70">
        <f t="shared" si="51"/>
        <v>93.682073999999972</v>
      </c>
      <c r="BJ47" s="67">
        <f t="shared" si="51"/>
        <v>118.70327</v>
      </c>
      <c r="BK47" s="67">
        <f t="shared" si="51"/>
        <v>98.574718270000091</v>
      </c>
      <c r="BL47" s="67">
        <f t="shared" si="51"/>
        <v>94.130840320000161</v>
      </c>
      <c r="BM47" s="67">
        <f t="shared" si="51"/>
        <v>105.17805071000006</v>
      </c>
      <c r="BN47" s="67">
        <f t="shared" si="51"/>
        <v>101.01629278000011</v>
      </c>
      <c r="BO47" s="67">
        <f t="shared" ref="BO47:CE47" si="52">+BO43+BO46</f>
        <v>103.23042404000012</v>
      </c>
      <c r="BP47" s="71">
        <f t="shared" si="52"/>
        <v>88.52236954000017</v>
      </c>
      <c r="BQ47" s="67">
        <f t="shared" si="52"/>
        <v>88.73420621999999</v>
      </c>
      <c r="BR47" s="67">
        <f t="shared" si="52"/>
        <v>98.053600960000125</v>
      </c>
      <c r="BS47" s="67">
        <f t="shared" si="52"/>
        <v>103.62700000000001</v>
      </c>
      <c r="BT47" s="67">
        <f t="shared" si="52"/>
        <v>79.225999999999999</v>
      </c>
      <c r="BU47" s="67">
        <f t="shared" si="52"/>
        <v>106.33702727866138</v>
      </c>
      <c r="BV47" s="67">
        <f t="shared" si="52"/>
        <v>59.885169054044056</v>
      </c>
      <c r="BW47" s="70">
        <f t="shared" si="52"/>
        <v>87.00843353079317</v>
      </c>
      <c r="BX47" s="70">
        <f t="shared" si="52"/>
        <v>101.10018576834446</v>
      </c>
      <c r="BY47" s="70">
        <f t="shared" si="52"/>
        <v>137.75594101257803</v>
      </c>
      <c r="BZ47" s="67">
        <f t="shared" si="52"/>
        <v>121.06762518183788</v>
      </c>
      <c r="CA47" s="67">
        <f t="shared" si="52"/>
        <v>304.737347304845</v>
      </c>
      <c r="CB47" s="67">
        <f t="shared" si="52"/>
        <v>280.72081531907321</v>
      </c>
      <c r="CC47" s="295">
        <f t="shared" si="52"/>
        <v>331.12626142593865</v>
      </c>
      <c r="CD47" s="295">
        <f t="shared" si="52"/>
        <v>418.01862946828578</v>
      </c>
      <c r="CE47" s="295">
        <f t="shared" si="52"/>
        <v>631.68606875512569</v>
      </c>
      <c r="CF47" s="356">
        <f t="shared" ref="CF47" si="53">+CF43+CF46</f>
        <v>450.63119021244648</v>
      </c>
      <c r="CG47" s="357"/>
      <c r="CH47" s="457"/>
      <c r="CI47" s="457"/>
      <c r="CJ47" s="457"/>
      <c r="CK47" s="457"/>
      <c r="CL47" s="457"/>
      <c r="CM47" s="457"/>
      <c r="CN47" s="457"/>
      <c r="CO47" s="457"/>
      <c r="CP47" s="457"/>
    </row>
    <row r="48" spans="1:95" s="426" customFormat="1" x14ac:dyDescent="0.2">
      <c r="A48" s="317"/>
      <c r="B48" s="318"/>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20"/>
      <c r="AD48" s="320"/>
      <c r="AE48" s="320"/>
      <c r="AF48" s="320"/>
      <c r="AG48" s="320"/>
      <c r="AH48" s="320"/>
      <c r="AI48" s="320"/>
      <c r="AJ48" s="319"/>
      <c r="AK48" s="321"/>
      <c r="AL48" s="319"/>
      <c r="AM48" s="320"/>
      <c r="AN48" s="319"/>
      <c r="AO48" s="319"/>
      <c r="AP48" s="319"/>
      <c r="AQ48" s="319"/>
      <c r="AR48" s="319"/>
      <c r="AS48" s="321"/>
      <c r="AT48" s="320"/>
      <c r="AU48" s="320"/>
      <c r="AV48" s="319"/>
      <c r="AW48" s="319"/>
      <c r="AX48" s="319"/>
      <c r="AY48" s="319"/>
      <c r="AZ48" s="319"/>
      <c r="BA48" s="319"/>
      <c r="BB48" s="319"/>
      <c r="BC48" s="319"/>
      <c r="BD48" s="319"/>
      <c r="BE48" s="319"/>
      <c r="BF48" s="319"/>
      <c r="BG48" s="319"/>
      <c r="BH48" s="319"/>
      <c r="BI48" s="320"/>
      <c r="BJ48" s="319"/>
      <c r="BK48" s="319"/>
      <c r="BL48" s="319"/>
      <c r="BM48" s="319"/>
      <c r="BN48" s="319"/>
      <c r="BO48" s="319"/>
      <c r="BP48" s="321"/>
      <c r="BQ48" s="319"/>
      <c r="BR48" s="321"/>
      <c r="BS48" s="319"/>
      <c r="BT48" s="319"/>
      <c r="BU48" s="319"/>
      <c r="BV48" s="319"/>
      <c r="BW48" s="320"/>
      <c r="BX48" s="320"/>
      <c r="BY48" s="320"/>
      <c r="BZ48" s="319"/>
      <c r="CA48" s="319"/>
      <c r="CB48" s="319"/>
      <c r="CC48" s="322"/>
      <c r="CD48" s="322"/>
      <c r="CE48" s="322"/>
      <c r="CF48" s="498"/>
      <c r="CG48" s="456"/>
      <c r="CH48" s="457"/>
      <c r="CI48" s="457"/>
      <c r="CJ48" s="457"/>
      <c r="CK48" s="457"/>
      <c r="CL48" s="457"/>
      <c r="CM48" s="457"/>
      <c r="CN48" s="457"/>
      <c r="CO48" s="457"/>
      <c r="CP48" s="457"/>
    </row>
    <row r="49" spans="1:94" s="463" customFormat="1" x14ac:dyDescent="0.2">
      <c r="A49" s="358" t="s">
        <v>41</v>
      </c>
      <c r="B49" s="359"/>
      <c r="C49" s="360">
        <f t="shared" ref="C49:AH49" si="54">-C46/C43</f>
        <v>0.28000000000000003</v>
      </c>
      <c r="D49" s="360">
        <f t="shared" si="54"/>
        <v>0.28000000000000003</v>
      </c>
      <c r="E49" s="360">
        <f t="shared" si="54"/>
        <v>0.28000000000000003</v>
      </c>
      <c r="F49" s="360">
        <f t="shared" si="54"/>
        <v>0.28000000000000003</v>
      </c>
      <c r="G49" s="360">
        <f t="shared" si="54"/>
        <v>0.28000000000000003</v>
      </c>
      <c r="H49" s="360">
        <f t="shared" si="54"/>
        <v>0.28000000000000003</v>
      </c>
      <c r="I49" s="360">
        <f t="shared" si="54"/>
        <v>0.28000000000000003</v>
      </c>
      <c r="J49" s="360">
        <f t="shared" si="54"/>
        <v>0.28000000000000003</v>
      </c>
      <c r="K49" s="360">
        <f t="shared" si="54"/>
        <v>0.28000000000000003</v>
      </c>
      <c r="L49" s="360">
        <f t="shared" si="54"/>
        <v>0.28000000000000003</v>
      </c>
      <c r="M49" s="360">
        <f t="shared" si="54"/>
        <v>0.28000000000000003</v>
      </c>
      <c r="N49" s="360">
        <f t="shared" si="54"/>
        <v>0.28000000000000003</v>
      </c>
      <c r="O49" s="360">
        <f t="shared" si="54"/>
        <v>0.28000000000000003</v>
      </c>
      <c r="P49" s="360">
        <f t="shared" si="54"/>
        <v>0.28000000000000003</v>
      </c>
      <c r="Q49" s="360">
        <f t="shared" si="54"/>
        <v>0.28000000000000003</v>
      </c>
      <c r="R49" s="360">
        <f t="shared" si="54"/>
        <v>0.28000000000000003</v>
      </c>
      <c r="S49" s="360">
        <f t="shared" si="54"/>
        <v>0.28169780518773807</v>
      </c>
      <c r="T49" s="360">
        <f t="shared" si="54"/>
        <v>0.29295774647887318</v>
      </c>
      <c r="U49" s="360">
        <f t="shared" si="54"/>
        <v>0.26993850848397977</v>
      </c>
      <c r="V49" s="360">
        <f t="shared" si="54"/>
        <v>0.27243209351277509</v>
      </c>
      <c r="W49" s="360">
        <f t="shared" si="54"/>
        <v>0.27398342927144126</v>
      </c>
      <c r="X49" s="360">
        <f t="shared" si="54"/>
        <v>0.27062727536325271</v>
      </c>
      <c r="Y49" s="360">
        <f t="shared" si="54"/>
        <v>0.27362433748437975</v>
      </c>
      <c r="Z49" s="360">
        <f t="shared" si="54"/>
        <v>9.2502270510276138E-2</v>
      </c>
      <c r="AA49" s="360">
        <f t="shared" si="54"/>
        <v>0.26764738881087191</v>
      </c>
      <c r="AB49" s="360">
        <f t="shared" si="54"/>
        <v>0.25785133903606333</v>
      </c>
      <c r="AC49" s="361">
        <f t="shared" si="54"/>
        <v>0.25068906540899394</v>
      </c>
      <c r="AD49" s="361">
        <f t="shared" si="54"/>
        <v>0.19792913872579546</v>
      </c>
      <c r="AE49" s="361">
        <f t="shared" si="54"/>
        <v>0.23251410650005222</v>
      </c>
      <c r="AF49" s="361">
        <f t="shared" si="54"/>
        <v>0.23604006558505392</v>
      </c>
      <c r="AG49" s="361">
        <f t="shared" si="54"/>
        <v>0.21195261512989705</v>
      </c>
      <c r="AH49" s="361">
        <f t="shared" si="54"/>
        <v>0.21983664406572023</v>
      </c>
      <c r="AI49" s="361">
        <f t="shared" ref="AI49:BN49" si="55">-AI46/AI43</f>
        <v>0.16480519944825073</v>
      </c>
      <c r="AJ49" s="360">
        <f t="shared" si="55"/>
        <v>0.16654726840370496</v>
      </c>
      <c r="AK49" s="362">
        <f t="shared" si="55"/>
        <v>0.2218153623086401</v>
      </c>
      <c r="AL49" s="360">
        <f t="shared" si="55"/>
        <v>0.1796894210594</v>
      </c>
      <c r="AM49" s="361">
        <f t="shared" si="55"/>
        <v>0.17960252782623973</v>
      </c>
      <c r="AN49" s="360">
        <f t="shared" si="55"/>
        <v>0.18175287968284135</v>
      </c>
      <c r="AO49" s="360">
        <f t="shared" si="55"/>
        <v>0.17650330307245954</v>
      </c>
      <c r="AP49" s="360">
        <f t="shared" si="55"/>
        <v>0.18837941121537247</v>
      </c>
      <c r="AQ49" s="360">
        <f t="shared" si="55"/>
        <v>0.1601175933443906</v>
      </c>
      <c r="AR49" s="360">
        <f t="shared" si="55"/>
        <v>0.16082775998827889</v>
      </c>
      <c r="AS49" s="362">
        <f t="shared" si="55"/>
        <v>0.14591100922527084</v>
      </c>
      <c r="AT49" s="361">
        <f t="shared" si="55"/>
        <v>0.11235647598003505</v>
      </c>
      <c r="AU49" s="361">
        <f t="shared" si="55"/>
        <v>0.1661610777395818</v>
      </c>
      <c r="AV49" s="360">
        <f t="shared" si="55"/>
        <v>0.20570376855245998</v>
      </c>
      <c r="AW49" s="360">
        <f t="shared" si="55"/>
        <v>0.24027465223782993</v>
      </c>
      <c r="AX49" s="360">
        <f t="shared" si="55"/>
        <v>0.21326263771794859</v>
      </c>
      <c r="AY49" s="360">
        <f t="shared" si="55"/>
        <v>0.16815200941651254</v>
      </c>
      <c r="AZ49" s="360">
        <f t="shared" si="55"/>
        <v>8.3530558262564378E-2</v>
      </c>
      <c r="BA49" s="360">
        <f t="shared" si="55"/>
        <v>0.15140328825919802</v>
      </c>
      <c r="BB49" s="360">
        <f t="shared" si="55"/>
        <v>0.15571005834191176</v>
      </c>
      <c r="BC49" s="360">
        <f t="shared" si="55"/>
        <v>0.14087254661420198</v>
      </c>
      <c r="BD49" s="360">
        <f t="shared" si="55"/>
        <v>0.17081447041440767</v>
      </c>
      <c r="BE49" s="360">
        <f t="shared" si="55"/>
        <v>0.14893152672984541</v>
      </c>
      <c r="BF49" s="360">
        <f t="shared" si="55"/>
        <v>0.16407672392618095</v>
      </c>
      <c r="BG49" s="360">
        <f t="shared" si="55"/>
        <v>0.13907115902668826</v>
      </c>
      <c r="BH49" s="360">
        <f t="shared" si="55"/>
        <v>0.13969926101884902</v>
      </c>
      <c r="BI49" s="361">
        <f t="shared" si="55"/>
        <v>0.13563128529908003</v>
      </c>
      <c r="BJ49" s="360">
        <f t="shared" si="55"/>
        <v>0.15635741799035657</v>
      </c>
      <c r="BK49" s="360">
        <f t="shared" si="55"/>
        <v>0.13964686312643015</v>
      </c>
      <c r="BL49" s="360">
        <f t="shared" si="55"/>
        <v>0.15297283770237557</v>
      </c>
      <c r="BM49" s="360">
        <f t="shared" si="55"/>
        <v>0.13914119517548154</v>
      </c>
      <c r="BN49" s="360">
        <f t="shared" si="55"/>
        <v>0.13673309604912254</v>
      </c>
      <c r="BO49" s="360">
        <f t="shared" ref="BO49:CD49" si="56">-BO46/BO43</f>
        <v>0.14424221864817696</v>
      </c>
      <c r="BP49" s="362">
        <f t="shared" si="56"/>
        <v>0.14157936891022274</v>
      </c>
      <c r="BQ49" s="360">
        <f t="shared" si="56"/>
        <v>0.14499595400873336</v>
      </c>
      <c r="BR49" s="362">
        <f t="shared" si="56"/>
        <v>0.13652983040264452</v>
      </c>
      <c r="BS49" s="360">
        <f t="shared" si="56"/>
        <v>0.13287924556720526</v>
      </c>
      <c r="BT49" s="360">
        <f t="shared" si="56"/>
        <v>0.1189279359430605</v>
      </c>
      <c r="BU49" s="360">
        <f t="shared" si="56"/>
        <v>0.19500207940137709</v>
      </c>
      <c r="BV49" s="360">
        <f t="shared" si="56"/>
        <v>0.21563580780015934</v>
      </c>
      <c r="BW49" s="361">
        <f t="shared" si="56"/>
        <v>0.12960397179040883</v>
      </c>
      <c r="BX49" s="361">
        <f t="shared" si="56"/>
        <v>0.13927939818872248</v>
      </c>
      <c r="BY49" s="361">
        <f t="shared" si="56"/>
        <v>0.15239870197669736</v>
      </c>
      <c r="BZ49" s="360">
        <f t="shared" si="56"/>
        <v>0.1356430890968022</v>
      </c>
      <c r="CA49" s="360">
        <f t="shared" si="56"/>
        <v>0.15560515794006244</v>
      </c>
      <c r="CB49" s="360">
        <f t="shared" si="56"/>
        <v>0.15748545760007804</v>
      </c>
      <c r="CC49" s="363">
        <f t="shared" si="56"/>
        <v>0.16479311005704078</v>
      </c>
      <c r="CD49" s="363">
        <f t="shared" si="56"/>
        <v>0.1397713260143687</v>
      </c>
      <c r="CE49" s="504">
        <f>-CE46/CE43</f>
        <v>0.16415093469387823</v>
      </c>
      <c r="CF49" s="505">
        <f>-CF46/CF43</f>
        <v>0.15981946733008037</v>
      </c>
      <c r="CG49" s="462"/>
      <c r="CH49" s="457"/>
      <c r="CI49" s="457"/>
      <c r="CJ49" s="457"/>
      <c r="CK49" s="457"/>
      <c r="CL49" s="457"/>
      <c r="CM49" s="457"/>
      <c r="CN49" s="457"/>
      <c r="CO49" s="457"/>
      <c r="CP49" s="457"/>
    </row>
    <row r="50" spans="1:94" x14ac:dyDescent="0.2">
      <c r="A50" s="10"/>
      <c r="B50" s="11"/>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7"/>
      <c r="AD50" s="29"/>
      <c r="AE50" s="29"/>
      <c r="AF50" s="29"/>
      <c r="AG50" s="29"/>
      <c r="AH50" s="29"/>
      <c r="AI50" s="29"/>
      <c r="AJ50" s="28"/>
      <c r="AK50" s="7"/>
      <c r="AL50" s="28"/>
      <c r="AM50" s="29"/>
      <c r="AN50" s="28"/>
      <c r="AO50" s="28"/>
      <c r="AP50" s="28"/>
      <c r="AQ50" s="28"/>
      <c r="AR50" s="28"/>
      <c r="AS50" s="7"/>
      <c r="AT50" s="29"/>
      <c r="AU50" s="29"/>
      <c r="AV50" s="28"/>
      <c r="AW50" s="28"/>
      <c r="AX50" s="28"/>
      <c r="AY50" s="28"/>
      <c r="AZ50" s="28"/>
      <c r="BA50" s="28"/>
      <c r="BB50" s="28"/>
      <c r="BC50" s="28"/>
      <c r="BD50" s="28"/>
      <c r="BE50" s="28"/>
      <c r="BF50" s="28"/>
      <c r="BG50" s="28"/>
      <c r="BH50" s="28"/>
      <c r="BI50" s="7"/>
      <c r="BJ50" s="28"/>
      <c r="BK50" s="28"/>
      <c r="BL50" s="28"/>
      <c r="BM50" s="28"/>
      <c r="BN50" s="28"/>
      <c r="BO50" s="28"/>
      <c r="BP50" s="7"/>
      <c r="BQ50" s="28"/>
      <c r="BR50" s="7"/>
      <c r="BS50" s="28"/>
      <c r="BT50" s="28"/>
      <c r="BU50" s="28"/>
      <c r="BV50" s="28"/>
      <c r="BW50" s="29"/>
      <c r="BX50" s="29"/>
      <c r="BY50" s="29"/>
      <c r="BZ50" s="28"/>
      <c r="CA50" s="28"/>
      <c r="CB50" s="28"/>
      <c r="CC50" s="291"/>
      <c r="CD50" s="291"/>
      <c r="CE50" s="291"/>
      <c r="CF50" s="268"/>
      <c r="CH50" s="457"/>
      <c r="CI50" s="457"/>
      <c r="CJ50" s="457"/>
      <c r="CK50" s="457"/>
      <c r="CL50" s="457"/>
      <c r="CM50" s="457"/>
      <c r="CN50" s="457"/>
      <c r="CO50" s="457"/>
      <c r="CP50" s="457"/>
    </row>
    <row r="51" spans="1:94" x14ac:dyDescent="0.2">
      <c r="A51" s="237" t="s">
        <v>189</v>
      </c>
      <c r="B51" s="65"/>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9"/>
      <c r="AD51" s="29"/>
      <c r="AE51" s="29"/>
      <c r="AF51" s="29"/>
      <c r="AG51" s="29"/>
      <c r="AH51" s="29"/>
      <c r="AI51" s="29"/>
      <c r="AJ51" s="28"/>
      <c r="AK51" s="7"/>
      <c r="AL51" s="28"/>
      <c r="AM51" s="29"/>
      <c r="AN51" s="28"/>
      <c r="AO51" s="28"/>
      <c r="AP51" s="28"/>
      <c r="AQ51" s="28"/>
      <c r="AR51" s="28"/>
      <c r="AS51" s="7"/>
      <c r="AT51" s="29"/>
      <c r="AU51" s="29"/>
      <c r="AV51" s="28"/>
      <c r="AW51" s="28"/>
      <c r="AX51" s="28"/>
      <c r="AY51" s="28"/>
      <c r="AZ51" s="28"/>
      <c r="BA51" s="28"/>
      <c r="BB51" s="28"/>
      <c r="BC51" s="28"/>
      <c r="BD51" s="28"/>
      <c r="BE51" s="28"/>
      <c r="BF51" s="28"/>
      <c r="BG51" s="28"/>
      <c r="BH51" s="28"/>
      <c r="BI51" s="29"/>
      <c r="BJ51" s="28"/>
      <c r="BK51" s="28"/>
      <c r="BL51" s="28"/>
      <c r="BM51" s="28"/>
      <c r="BN51" s="28"/>
      <c r="BO51" s="28"/>
      <c r="BP51" s="7"/>
      <c r="BQ51" s="28"/>
      <c r="BR51" s="7"/>
      <c r="BS51" s="28"/>
      <c r="BT51" s="28"/>
      <c r="BU51" s="28"/>
      <c r="BV51" s="28"/>
      <c r="BW51" s="29"/>
      <c r="BX51" s="29"/>
      <c r="BY51" s="29"/>
      <c r="BZ51" s="28"/>
      <c r="CA51" s="28"/>
      <c r="CB51" s="28"/>
      <c r="CC51" s="291"/>
      <c r="CD51" s="291"/>
      <c r="CE51" s="291"/>
      <c r="CF51" s="268"/>
      <c r="CH51" s="457"/>
      <c r="CI51" s="457"/>
      <c r="CJ51" s="457"/>
      <c r="CK51" s="457"/>
      <c r="CL51" s="457"/>
      <c r="CM51" s="457"/>
      <c r="CN51" s="457"/>
      <c r="CO51" s="457"/>
      <c r="CP51" s="457"/>
    </row>
    <row r="52" spans="1:94" x14ac:dyDescent="0.2">
      <c r="A52" s="35" t="s">
        <v>40</v>
      </c>
      <c r="B52" s="36"/>
      <c r="C52" s="148">
        <f t="shared" ref="C52:AH52" si="57">+C43/C31</f>
        <v>-4.4874999999999853E-2</v>
      </c>
      <c r="D52" s="148">
        <f t="shared" si="57"/>
        <v>-0.13109090909090912</v>
      </c>
      <c r="E52" s="148">
        <f t="shared" si="57"/>
        <v>4.5416666666666584E-2</v>
      </c>
      <c r="F52" s="148">
        <f t="shared" si="57"/>
        <v>0.32795454545454555</v>
      </c>
      <c r="G52" s="148">
        <f t="shared" si="57"/>
        <v>8.2390572390572361E-2</v>
      </c>
      <c r="H52" s="148">
        <f t="shared" si="57"/>
        <v>2.4552845528455311E-2</v>
      </c>
      <c r="I52" s="148">
        <f t="shared" si="57"/>
        <v>0.27440397350993379</v>
      </c>
      <c r="J52" s="148">
        <f t="shared" si="57"/>
        <v>0.40782152230971142</v>
      </c>
      <c r="K52" s="148">
        <f t="shared" si="57"/>
        <v>0.20986587389380534</v>
      </c>
      <c r="L52" s="148">
        <f t="shared" si="57"/>
        <v>0.36514002507911858</v>
      </c>
      <c r="M52" s="148">
        <f t="shared" si="57"/>
        <v>0.48921640874478017</v>
      </c>
      <c r="N52" s="148">
        <f t="shared" si="57"/>
        <v>0.4451195862960568</v>
      </c>
      <c r="O52" s="148">
        <f t="shared" si="57"/>
        <v>0.57689955664271519</v>
      </c>
      <c r="P52" s="148">
        <f t="shared" si="57"/>
        <v>0.48972602739726023</v>
      </c>
      <c r="Q52" s="148">
        <f t="shared" si="57"/>
        <v>0.41456520121996582</v>
      </c>
      <c r="R52" s="148">
        <f t="shared" si="57"/>
        <v>0.41142721409124955</v>
      </c>
      <c r="S52" s="148">
        <f t="shared" si="57"/>
        <v>0.45337171052631575</v>
      </c>
      <c r="T52" s="148">
        <f t="shared" si="57"/>
        <v>0.4742099031543156</v>
      </c>
      <c r="U52" s="148">
        <f t="shared" si="57"/>
        <v>0.58545365959289741</v>
      </c>
      <c r="V52" s="148">
        <f t="shared" si="57"/>
        <v>0.53617567956968593</v>
      </c>
      <c r="W52" s="148">
        <f t="shared" si="57"/>
        <v>0.6149615228837586</v>
      </c>
      <c r="X52" s="148">
        <f t="shared" si="57"/>
        <v>0.49583067092651756</v>
      </c>
      <c r="Y52" s="148">
        <f t="shared" si="57"/>
        <v>0.53623707469239201</v>
      </c>
      <c r="Z52" s="148">
        <f t="shared" si="57"/>
        <v>0.50543191825770595</v>
      </c>
      <c r="AA52" s="148">
        <f t="shared" si="57"/>
        <v>0.56599528660631804</v>
      </c>
      <c r="AB52" s="148">
        <f t="shared" si="57"/>
        <v>0.53193191871503342</v>
      </c>
      <c r="AC52" s="149">
        <f t="shared" si="57"/>
        <v>0.58073041170690765</v>
      </c>
      <c r="AD52" s="150">
        <f t="shared" si="57"/>
        <v>0.53513974152250643</v>
      </c>
      <c r="AE52" s="150">
        <f t="shared" si="57"/>
        <v>0.50467935243622541</v>
      </c>
      <c r="AF52" s="150">
        <f t="shared" si="57"/>
        <v>0.45729195400987294</v>
      </c>
      <c r="AG52" s="150">
        <f t="shared" si="57"/>
        <v>0.52628722064299682</v>
      </c>
      <c r="AH52" s="150">
        <f t="shared" si="57"/>
        <v>0.40511744590824733</v>
      </c>
      <c r="AI52" s="150">
        <f t="shared" ref="AI52:BN52" si="58">+AI43/AI31</f>
        <v>0.49586905681043147</v>
      </c>
      <c r="AJ52" s="148">
        <f t="shared" si="58"/>
        <v>0.54759978743442228</v>
      </c>
      <c r="AK52" s="150">
        <f t="shared" si="58"/>
        <v>0.60553340636524688</v>
      </c>
      <c r="AL52" s="148">
        <f t="shared" si="58"/>
        <v>0.5446240281915895</v>
      </c>
      <c r="AM52" s="150">
        <f t="shared" si="58"/>
        <v>0.5841679070819672</v>
      </c>
      <c r="AN52" s="148">
        <f t="shared" si="58"/>
        <v>0.51950450127772974</v>
      </c>
      <c r="AO52" s="148">
        <f t="shared" si="58"/>
        <v>0.54056889345917958</v>
      </c>
      <c r="AP52" s="148">
        <f t="shared" si="58"/>
        <v>0.5143108139125957</v>
      </c>
      <c r="AQ52" s="148">
        <f t="shared" si="58"/>
        <v>0.58964444282770834</v>
      </c>
      <c r="AR52" s="148">
        <f t="shared" si="58"/>
        <v>0.4051640740828501</v>
      </c>
      <c r="AS52" s="149">
        <f t="shared" si="58"/>
        <v>0.57435354605205979</v>
      </c>
      <c r="AT52" s="150">
        <f t="shared" si="58"/>
        <v>0.40369610413894558</v>
      </c>
      <c r="AU52" s="150">
        <f t="shared" si="58"/>
        <v>0.44831509715066115</v>
      </c>
      <c r="AV52" s="148">
        <f t="shared" si="58"/>
        <v>0.35087402732381107</v>
      </c>
      <c r="AW52" s="148">
        <f t="shared" si="58"/>
        <v>0.33998281673280878</v>
      </c>
      <c r="AX52" s="148">
        <f t="shared" si="58"/>
        <v>0.29171907954244636</v>
      </c>
      <c r="AY52" s="148">
        <f t="shared" si="58"/>
        <v>0.36888754109433258</v>
      </c>
      <c r="AZ52" s="148">
        <f t="shared" si="58"/>
        <v>0.27100547066591213</v>
      </c>
      <c r="BA52" s="148">
        <f t="shared" si="58"/>
        <v>0.50170439745869244</v>
      </c>
      <c r="BB52" s="148">
        <f t="shared" si="58"/>
        <v>0.40692651661768142</v>
      </c>
      <c r="BC52" s="148">
        <f t="shared" si="58"/>
        <v>0.45158952486262172</v>
      </c>
      <c r="BD52" s="148">
        <f t="shared" si="58"/>
        <v>0.41747405249624769</v>
      </c>
      <c r="BE52" s="148">
        <f t="shared" si="58"/>
        <v>0.4403393022233571</v>
      </c>
      <c r="BF52" s="148">
        <f t="shared" si="58"/>
        <v>0.43455090294462706</v>
      </c>
      <c r="BG52" s="148">
        <f t="shared" si="58"/>
        <v>0.52411742517425175</v>
      </c>
      <c r="BH52" s="148">
        <f t="shared" si="58"/>
        <v>0.53900931938378682</v>
      </c>
      <c r="BI52" s="149">
        <f t="shared" si="58"/>
        <v>0.53836256072482336</v>
      </c>
      <c r="BJ52" s="148">
        <f t="shared" si="58"/>
        <v>0.56178837799853065</v>
      </c>
      <c r="BK52" s="148">
        <f t="shared" si="58"/>
        <v>0.51125275837644268</v>
      </c>
      <c r="BL52" s="148">
        <f t="shared" si="58"/>
        <v>0.50369209524038272</v>
      </c>
      <c r="BM52" s="148">
        <f t="shared" si="58"/>
        <v>0.55868664161041559</v>
      </c>
      <c r="BN52" s="148">
        <f t="shared" si="58"/>
        <v>0.47723064570418333</v>
      </c>
      <c r="BO52" s="148">
        <f t="shared" ref="BO52:CE52" si="59">+BO43/BO31</f>
        <v>0.4933448452735083</v>
      </c>
      <c r="BP52" s="149">
        <f t="shared" si="59"/>
        <v>0.44151962382938281</v>
      </c>
      <c r="BQ52" s="148">
        <f t="shared" si="59"/>
        <v>0.45784138577777816</v>
      </c>
      <c r="BR52" s="148">
        <f t="shared" si="59"/>
        <v>0.4193531187008776</v>
      </c>
      <c r="BS52" s="148">
        <f t="shared" si="59"/>
        <v>0.44047714080721834</v>
      </c>
      <c r="BT52" s="148">
        <f t="shared" si="59"/>
        <v>0.36900418664447532</v>
      </c>
      <c r="BU52" s="148">
        <f t="shared" si="59"/>
        <v>0.4945746171570003</v>
      </c>
      <c r="BV52" s="148">
        <f t="shared" si="59"/>
        <v>0.28604428209330207</v>
      </c>
      <c r="BW52" s="150">
        <f t="shared" si="59"/>
        <v>0.37348527867966452</v>
      </c>
      <c r="BX52" s="150">
        <f t="shared" si="59"/>
        <v>0.41344716099191814</v>
      </c>
      <c r="BY52" s="150">
        <f t="shared" si="59"/>
        <v>0.51919904602612543</v>
      </c>
      <c r="BZ52" s="148">
        <f t="shared" si="59"/>
        <v>0.42616338874719228</v>
      </c>
      <c r="CA52" s="148">
        <f t="shared" si="59"/>
        <v>0.66628112116331983</v>
      </c>
      <c r="CB52" s="148">
        <f t="shared" si="59"/>
        <v>0.63387803525181252</v>
      </c>
      <c r="CC52" s="298">
        <f t="shared" si="59"/>
        <v>0.68901652708475603</v>
      </c>
      <c r="CD52" s="298">
        <f t="shared" si="59"/>
        <v>0.68821943769380745</v>
      </c>
      <c r="CE52" s="298">
        <f t="shared" si="59"/>
        <v>0.78990760016090822</v>
      </c>
      <c r="CF52" s="273">
        <f>+CF43/CF31</f>
        <v>0.71174874875659666</v>
      </c>
      <c r="CH52" s="457"/>
      <c r="CI52" s="457"/>
      <c r="CJ52" s="457"/>
      <c r="CK52" s="457"/>
      <c r="CL52" s="457"/>
      <c r="CM52" s="457"/>
      <c r="CN52" s="457"/>
      <c r="CO52" s="457"/>
      <c r="CP52" s="457"/>
    </row>
    <row r="53" spans="1:94" x14ac:dyDescent="0.2">
      <c r="A53" s="35" t="s">
        <v>125</v>
      </c>
      <c r="B53" s="36"/>
      <c r="C53" s="148">
        <f t="shared" ref="C53:AH53" si="60">+C47/C31</f>
        <v>-3.2309999999999901E-2</v>
      </c>
      <c r="D53" s="148">
        <f t="shared" si="60"/>
        <v>-9.438545454545455E-2</v>
      </c>
      <c r="E53" s="148">
        <f t="shared" si="60"/>
        <v>3.2699999999999937E-2</v>
      </c>
      <c r="F53" s="148">
        <f t="shared" si="60"/>
        <v>0.23612727272727277</v>
      </c>
      <c r="G53" s="148">
        <f t="shared" si="60"/>
        <v>5.9321212121212101E-2</v>
      </c>
      <c r="H53" s="148">
        <f t="shared" si="60"/>
        <v>1.7678048780487825E-2</v>
      </c>
      <c r="I53" s="148">
        <f t="shared" si="60"/>
        <v>0.19757086092715231</v>
      </c>
      <c r="J53" s="148">
        <f t="shared" si="60"/>
        <v>0.29363149606299221</v>
      </c>
      <c r="K53" s="148">
        <f t="shared" si="60"/>
        <v>0.15110342920353986</v>
      </c>
      <c r="L53" s="148">
        <f t="shared" si="60"/>
        <v>0.26290081805696536</v>
      </c>
      <c r="M53" s="148">
        <f t="shared" si="60"/>
        <v>0.35223581429624168</v>
      </c>
      <c r="N53" s="148">
        <f t="shared" si="60"/>
        <v>0.32048610213316087</v>
      </c>
      <c r="O53" s="148">
        <f t="shared" si="60"/>
        <v>0.41536768078275488</v>
      </c>
      <c r="P53" s="148">
        <f t="shared" si="60"/>
        <v>0.35260273972602735</v>
      </c>
      <c r="Q53" s="148">
        <f t="shared" si="60"/>
        <v>0.2984869448783754</v>
      </c>
      <c r="R53" s="148">
        <f t="shared" si="60"/>
        <v>0.29622759414569966</v>
      </c>
      <c r="S53" s="148">
        <f t="shared" si="60"/>
        <v>0.32565789473684209</v>
      </c>
      <c r="T53" s="148">
        <f t="shared" si="60"/>
        <v>0.33528643856826257</v>
      </c>
      <c r="U53" s="148">
        <f t="shared" si="60"/>
        <v>0.42741717193590312</v>
      </c>
      <c r="V53" s="148">
        <f t="shared" si="60"/>
        <v>0.39010421669388157</v>
      </c>
      <c r="W53" s="148">
        <f t="shared" si="60"/>
        <v>0.44647225597407852</v>
      </c>
      <c r="X53" s="148">
        <f t="shared" si="60"/>
        <v>0.36164536741214059</v>
      </c>
      <c r="Y53" s="148">
        <f t="shared" si="60"/>
        <v>0.38950956039512435</v>
      </c>
      <c r="Z53" s="148">
        <f t="shared" si="60"/>
        <v>0.45867831823050381</v>
      </c>
      <c r="AA53" s="148">
        <f t="shared" si="60"/>
        <v>0.41450812606687593</v>
      </c>
      <c r="AB53" s="148">
        <f t="shared" si="60"/>
        <v>0.39477256119833959</v>
      </c>
      <c r="AC53" s="149">
        <f t="shared" si="60"/>
        <v>0.43514764754152274</v>
      </c>
      <c r="AD53" s="150">
        <f t="shared" si="60"/>
        <v>0.42921999338501188</v>
      </c>
      <c r="AE53" s="150">
        <f t="shared" si="60"/>
        <v>0.38733428373549156</v>
      </c>
      <c r="AF53" s="150">
        <f t="shared" si="60"/>
        <v>0.34935273119386506</v>
      </c>
      <c r="AG53" s="150">
        <f t="shared" si="60"/>
        <v>0.41473926791826848</v>
      </c>
      <c r="AH53" s="150">
        <f t="shared" si="60"/>
        <v>0.31605778614730229</v>
      </c>
      <c r="AI53" s="150">
        <f t="shared" ref="AI53:BN53" si="61">+AI47/AI31</f>
        <v>0.4141472580025724</v>
      </c>
      <c r="AJ53" s="148">
        <f t="shared" si="61"/>
        <v>0.45639853865876973</v>
      </c>
      <c r="AK53" s="150">
        <f t="shared" si="61"/>
        <v>0.47121679444235459</v>
      </c>
      <c r="AL53" s="148">
        <f t="shared" si="61"/>
        <v>0.44676085187080439</v>
      </c>
      <c r="AM53" s="150">
        <f t="shared" si="61"/>
        <v>0.47924987429508198</v>
      </c>
      <c r="AN53" s="148">
        <f t="shared" si="61"/>
        <v>0.42508306216230402</v>
      </c>
      <c r="AO53" s="148">
        <f t="shared" si="61"/>
        <v>0.44515669822540987</v>
      </c>
      <c r="AP53" s="148">
        <f t="shared" si="61"/>
        <v>0.41742524560604194</v>
      </c>
      <c r="AQ53" s="148">
        <f t="shared" si="61"/>
        <v>0.49523199371324156</v>
      </c>
      <c r="AR53" s="148">
        <f t="shared" si="61"/>
        <v>0.34000244362038023</v>
      </c>
      <c r="AS53" s="149">
        <f t="shared" si="61"/>
        <v>0.49054904049549064</v>
      </c>
      <c r="AT53" s="150">
        <f t="shared" si="61"/>
        <v>0.35833823251102442</v>
      </c>
      <c r="AU53" s="150">
        <f t="shared" si="61"/>
        <v>0.37382257744118197</v>
      </c>
      <c r="AV53" s="148">
        <f t="shared" si="61"/>
        <v>0.27869791761612434</v>
      </c>
      <c r="AW53" s="148">
        <f t="shared" si="61"/>
        <v>0.25829356367549533</v>
      </c>
      <c r="AX53" s="148">
        <f t="shared" si="61"/>
        <v>0.2295062991665722</v>
      </c>
      <c r="AY53" s="148">
        <f t="shared" si="61"/>
        <v>0.30685835981060422</v>
      </c>
      <c r="AZ53" s="148">
        <f t="shared" si="61"/>
        <v>0.24836823240897948</v>
      </c>
      <c r="BA53" s="148">
        <f t="shared" si="61"/>
        <v>0.42574470194934677</v>
      </c>
      <c r="BB53" s="148">
        <f t="shared" si="61"/>
        <v>0.34356396497427133</v>
      </c>
      <c r="BC53" s="148">
        <f t="shared" si="61"/>
        <v>0.38797295847092672</v>
      </c>
      <c r="BD53" s="148">
        <f t="shared" si="61"/>
        <v>0.3461634433073445</v>
      </c>
      <c r="BE53" s="148">
        <f t="shared" si="61"/>
        <v>0.37475889766407772</v>
      </c>
      <c r="BF53" s="148">
        <f t="shared" si="61"/>
        <v>0.36325121441030883</v>
      </c>
      <c r="BG53" s="148">
        <f t="shared" si="61"/>
        <v>0.451227807389185</v>
      </c>
      <c r="BH53" s="148">
        <f t="shared" si="61"/>
        <v>0.463710115783599</v>
      </c>
      <c r="BI53" s="149">
        <f t="shared" si="61"/>
        <v>0.46534375465681149</v>
      </c>
      <c r="BJ53" s="148">
        <f t="shared" si="61"/>
        <v>0.47394859775768994</v>
      </c>
      <c r="BK53" s="148">
        <f t="shared" si="61"/>
        <v>0.43985791440443772</v>
      </c>
      <c r="BL53" s="148">
        <f t="shared" si="61"/>
        <v>0.42664088610320622</v>
      </c>
      <c r="BM53" s="148">
        <f t="shared" si="61"/>
        <v>0.48095031456816645</v>
      </c>
      <c r="BN53" s="148">
        <f t="shared" si="61"/>
        <v>0.41197742198752846</v>
      </c>
      <c r="BO53" s="148">
        <f t="shared" ref="BO53:CE53" si="62">+BO47/BO31</f>
        <v>0.42218369023261582</v>
      </c>
      <c r="BP53" s="149">
        <f t="shared" si="62"/>
        <v>0.37900955412613985</v>
      </c>
      <c r="BQ53" s="148">
        <f t="shared" si="62"/>
        <v>0.39145623726224871</v>
      </c>
      <c r="BR53" s="148">
        <f t="shared" si="62"/>
        <v>0.36209890852582671</v>
      </c>
      <c r="BS53" s="148">
        <f t="shared" si="62"/>
        <v>0.38194687064715555</v>
      </c>
      <c r="BT53" s="148">
        <f t="shared" si="62"/>
        <v>0.32511928037249999</v>
      </c>
      <c r="BU53" s="148">
        <f t="shared" si="62"/>
        <v>0.39813153839224524</v>
      </c>
      <c r="BV53" s="148">
        <f t="shared" si="62"/>
        <v>0.22436289225749623</v>
      </c>
      <c r="BW53" s="150">
        <f t="shared" si="62"/>
        <v>0.32508010315753233</v>
      </c>
      <c r="BX53" s="150">
        <f t="shared" si="62"/>
        <v>0.3558624892261279</v>
      </c>
      <c r="BY53" s="150">
        <f t="shared" si="62"/>
        <v>0.44007378534420433</v>
      </c>
      <c r="BZ53" s="148">
        <f t="shared" si="62"/>
        <v>0.36835727023756171</v>
      </c>
      <c r="CA53" s="148">
        <f t="shared" si="62"/>
        <v>0.56260434207221954</v>
      </c>
      <c r="CB53" s="148">
        <f t="shared" si="62"/>
        <v>0.53405146280754245</v>
      </c>
      <c r="CC53" s="298">
        <f t="shared" si="62"/>
        <v>0.57547135070575783</v>
      </c>
      <c r="CD53" s="298">
        <f t="shared" si="62"/>
        <v>0.59202609429848074</v>
      </c>
      <c r="CE53" s="298">
        <f t="shared" si="62"/>
        <v>0.66024352927269692</v>
      </c>
      <c r="CF53" s="273">
        <f t="shared" ref="CF53" si="63">+CF47/CF31</f>
        <v>0.59799744285746625</v>
      </c>
      <c r="CH53" s="457"/>
      <c r="CI53" s="457"/>
      <c r="CJ53" s="457"/>
      <c r="CK53" s="457"/>
      <c r="CL53" s="457"/>
      <c r="CM53" s="457"/>
      <c r="CN53" s="457"/>
      <c r="CO53" s="457"/>
      <c r="CP53" s="457"/>
    </row>
    <row r="54" spans="1:94" x14ac:dyDescent="0.2">
      <c r="A54" s="10" t="s">
        <v>176</v>
      </c>
      <c r="B54" s="11"/>
      <c r="C54" s="152">
        <f t="shared" ref="C54:AH54" si="64">-C37/C31</f>
        <v>1.0448749999999998</v>
      </c>
      <c r="D54" s="152">
        <f t="shared" si="64"/>
        <v>1.1310909090909091</v>
      </c>
      <c r="E54" s="152">
        <f t="shared" si="64"/>
        <v>0.95458333333333345</v>
      </c>
      <c r="F54" s="152">
        <f t="shared" si="64"/>
        <v>0.6720454545454545</v>
      </c>
      <c r="G54" s="152">
        <f t="shared" si="64"/>
        <v>0.91760942760942765</v>
      </c>
      <c r="H54" s="152">
        <f t="shared" si="64"/>
        <v>0.97138211382113815</v>
      </c>
      <c r="I54" s="152">
        <f t="shared" si="64"/>
        <v>0.72890728476821187</v>
      </c>
      <c r="J54" s="152">
        <f t="shared" si="64"/>
        <v>0.58955380577427807</v>
      </c>
      <c r="K54" s="152">
        <f t="shared" si="64"/>
        <v>0.7901341261061946</v>
      </c>
      <c r="L54" s="152">
        <f t="shared" si="64"/>
        <v>0.63485997492088142</v>
      </c>
      <c r="M54" s="152">
        <f t="shared" si="64"/>
        <v>0.51078359125521988</v>
      </c>
      <c r="N54" s="152">
        <f t="shared" si="64"/>
        <v>0.55488041370394325</v>
      </c>
      <c r="O54" s="152">
        <f t="shared" si="64"/>
        <v>0.42310044335728481</v>
      </c>
      <c r="P54" s="152">
        <f t="shared" si="64"/>
        <v>0.51027397260273977</v>
      </c>
      <c r="Q54" s="152">
        <f t="shared" si="64"/>
        <v>0.58543479878003424</v>
      </c>
      <c r="R54" s="152">
        <f t="shared" si="64"/>
        <v>0.58857278590875051</v>
      </c>
      <c r="S54" s="152">
        <f t="shared" si="64"/>
        <v>0.54662828947368425</v>
      </c>
      <c r="T54" s="152">
        <f t="shared" si="64"/>
        <v>0.52579009684568445</v>
      </c>
      <c r="U54" s="152">
        <f t="shared" si="64"/>
        <v>0.41454634040710253</v>
      </c>
      <c r="V54" s="152">
        <f t="shared" si="64"/>
        <v>0.46502497358563055</v>
      </c>
      <c r="W54" s="152">
        <f t="shared" si="64"/>
        <v>0.38503847711624145</v>
      </c>
      <c r="X54" s="152">
        <f t="shared" si="64"/>
        <v>0.50416932907348244</v>
      </c>
      <c r="Y54" s="152">
        <f t="shared" si="64"/>
        <v>0.46376292530760799</v>
      </c>
      <c r="Z54" s="152">
        <f t="shared" si="64"/>
        <v>0.49456808174229405</v>
      </c>
      <c r="AA54" s="152">
        <f t="shared" si="64"/>
        <v>0.43030990460003704</v>
      </c>
      <c r="AB54" s="152">
        <f t="shared" si="64"/>
        <v>0.46806808128496663</v>
      </c>
      <c r="AC54" s="152">
        <f t="shared" si="64"/>
        <v>0.41926958829309235</v>
      </c>
      <c r="AD54" s="152">
        <f t="shared" si="64"/>
        <v>0.45853172006676279</v>
      </c>
      <c r="AE54" s="152">
        <f t="shared" si="64"/>
        <v>0.49532064756377453</v>
      </c>
      <c r="AF54" s="152">
        <f t="shared" si="64"/>
        <v>0.54270804599012712</v>
      </c>
      <c r="AG54" s="152">
        <f t="shared" si="64"/>
        <v>0.47371277935700323</v>
      </c>
      <c r="AH54" s="152">
        <f t="shared" si="64"/>
        <v>0.59488255409175272</v>
      </c>
      <c r="AI54" s="152">
        <f t="shared" ref="AI54:BN54" si="65">-AI37/AI31</f>
        <v>0.50413094318956853</v>
      </c>
      <c r="AJ54" s="152">
        <f t="shared" si="65"/>
        <v>0.45240021256557778</v>
      </c>
      <c r="AK54" s="153">
        <f t="shared" si="65"/>
        <v>0.39446659363475323</v>
      </c>
      <c r="AL54" s="154">
        <f t="shared" si="65"/>
        <v>0.45537597180841055</v>
      </c>
      <c r="AM54" s="153">
        <f t="shared" si="65"/>
        <v>0.41583209291803275</v>
      </c>
      <c r="AN54" s="154">
        <f t="shared" si="65"/>
        <v>0.48049549872227026</v>
      </c>
      <c r="AO54" s="154">
        <f t="shared" si="65"/>
        <v>0.45943110654082053</v>
      </c>
      <c r="AP54" s="154">
        <f t="shared" si="65"/>
        <v>0.48568918608740425</v>
      </c>
      <c r="AQ54" s="154">
        <f t="shared" si="65"/>
        <v>0.41035555717229166</v>
      </c>
      <c r="AR54" s="154">
        <f t="shared" si="65"/>
        <v>0.55929321839216639</v>
      </c>
      <c r="AS54" s="155">
        <f t="shared" si="65"/>
        <v>0.42564645394794026</v>
      </c>
      <c r="AT54" s="153">
        <f t="shared" si="65"/>
        <v>0.59630389586105437</v>
      </c>
      <c r="AU54" s="153">
        <f t="shared" si="65"/>
        <v>0.5516849028493388</v>
      </c>
      <c r="AV54" s="154">
        <f t="shared" si="65"/>
        <v>0.64912597267618899</v>
      </c>
      <c r="AW54" s="154">
        <f t="shared" si="65"/>
        <v>0.65184825796145984</v>
      </c>
      <c r="AX54" s="154">
        <f t="shared" si="65"/>
        <v>0.70828092045755364</v>
      </c>
      <c r="AY54" s="154">
        <f t="shared" si="65"/>
        <v>0.63111245890566736</v>
      </c>
      <c r="AZ54" s="154">
        <f t="shared" si="65"/>
        <v>0.72899452933408793</v>
      </c>
      <c r="BA54" s="154">
        <f t="shared" si="65"/>
        <v>0.49829560254130756</v>
      </c>
      <c r="BB54" s="154">
        <f t="shared" si="65"/>
        <v>0.58673722821797758</v>
      </c>
      <c r="BC54" s="154">
        <f t="shared" si="65"/>
        <v>0.54781592778792321</v>
      </c>
      <c r="BD54" s="154">
        <f t="shared" si="65"/>
        <v>0.58190205765957992</v>
      </c>
      <c r="BE54" s="154">
        <f t="shared" si="65"/>
        <v>0.5602793808385228</v>
      </c>
      <c r="BF54" s="154">
        <f t="shared" si="65"/>
        <v>0.56810953319471313</v>
      </c>
      <c r="BG54" s="154">
        <f t="shared" si="65"/>
        <v>0.47542253200309781</v>
      </c>
      <c r="BH54" s="154">
        <f t="shared" si="65"/>
        <v>0.46003384034797085</v>
      </c>
      <c r="BI54" s="155">
        <f t="shared" si="65"/>
        <v>0.46140931262976992</v>
      </c>
      <c r="BJ54" s="154">
        <f t="shared" si="65"/>
        <v>0.43879962947583606</v>
      </c>
      <c r="BK54" s="154">
        <f t="shared" si="65"/>
        <v>0.48816224565858396</v>
      </c>
      <c r="BL54" s="154">
        <f t="shared" si="65"/>
        <v>0.49530330203003858</v>
      </c>
      <c r="BM54" s="154">
        <f t="shared" si="65"/>
        <v>0.44053633807354592</v>
      </c>
      <c r="BN54" s="154">
        <f t="shared" si="65"/>
        <v>0.52284145502969714</v>
      </c>
      <c r="BO54" s="154">
        <f t="shared" ref="BO54:CE54" si="66">-BO37/BO31</f>
        <v>0.50753444486061772</v>
      </c>
      <c r="BP54" s="155">
        <f t="shared" si="66"/>
        <v>0.55878008198426288</v>
      </c>
      <c r="BQ54" s="154">
        <f t="shared" si="66"/>
        <v>0.54251153898838622</v>
      </c>
      <c r="BR54" s="154">
        <f t="shared" si="66"/>
        <v>0.58074026652015609</v>
      </c>
      <c r="BS54" s="154">
        <f t="shared" si="66"/>
        <v>0.56081434423643062</v>
      </c>
      <c r="BT54" s="154">
        <f t="shared" si="66"/>
        <v>0.6281114413679203</v>
      </c>
      <c r="BU54" s="154">
        <f t="shared" si="66"/>
        <v>0.50378548733079187</v>
      </c>
      <c r="BV54" s="154">
        <f t="shared" si="66"/>
        <v>0.71009923058789493</v>
      </c>
      <c r="BW54" s="153">
        <f t="shared" si="66"/>
        <v>0.61363729359381802</v>
      </c>
      <c r="BX54" s="153">
        <f t="shared" si="66"/>
        <v>0.58358638249246453</v>
      </c>
      <c r="BY54" s="153">
        <f t="shared" si="66"/>
        <v>0.47410784323485367</v>
      </c>
      <c r="BZ54" s="154">
        <f t="shared" si="66"/>
        <v>0.56918887556811004</v>
      </c>
      <c r="CA54" s="154">
        <f t="shared" si="66"/>
        <v>0.33026554077007986</v>
      </c>
      <c r="CB54" s="154">
        <f t="shared" si="66"/>
        <v>0.35268568830272679</v>
      </c>
      <c r="CC54" s="154">
        <f t="shared" si="66"/>
        <v>0.30794087259272729</v>
      </c>
      <c r="CD54" s="154">
        <f t="shared" si="66"/>
        <v>0.31317450038811839</v>
      </c>
      <c r="CE54" s="154">
        <f t="shared" si="66"/>
        <v>0.21159226201784173</v>
      </c>
      <c r="CF54" s="259">
        <f t="shared" ref="CF54" si="67">-CF37/CF31</f>
        <v>0.2871108972969304</v>
      </c>
      <c r="CH54" s="457"/>
      <c r="CI54" s="457"/>
      <c r="CJ54" s="457"/>
      <c r="CK54" s="457"/>
      <c r="CL54" s="457"/>
      <c r="CM54" s="457"/>
      <c r="CN54" s="457"/>
      <c r="CO54" s="457"/>
      <c r="CP54" s="457"/>
    </row>
    <row r="55" spans="1:94" ht="15" x14ac:dyDescent="0.2">
      <c r="A55" s="43" t="s">
        <v>231</v>
      </c>
      <c r="B55" s="44"/>
      <c r="C55" s="174">
        <f t="shared" ref="C55:AH55" si="68">+C47*1000000/C146</f>
        <v>-6.6499310538552497E-3</v>
      </c>
      <c r="D55" s="174">
        <f t="shared" si="68"/>
        <v>-1.4839369513555089E-2</v>
      </c>
      <c r="E55" s="174">
        <f t="shared" si="68"/>
        <v>6.4326963705292001E-3</v>
      </c>
      <c r="F55" s="174">
        <f t="shared" si="68"/>
        <v>7.2600174650671381E-2</v>
      </c>
      <c r="G55" s="174">
        <f t="shared" si="68"/>
        <v>1.3235535727660352E-2</v>
      </c>
      <c r="H55" s="174">
        <f t="shared" si="68"/>
        <v>3.2669650917477992E-3</v>
      </c>
      <c r="I55" s="174">
        <f t="shared" si="68"/>
        <v>4.4823410124692022E-2</v>
      </c>
      <c r="J55" s="174">
        <f t="shared" si="68"/>
        <v>8.4043217873472298E-2</v>
      </c>
      <c r="K55" s="174">
        <f t="shared" si="68"/>
        <v>3.2837326278147137E-2</v>
      </c>
      <c r="L55" s="174">
        <f t="shared" si="68"/>
        <v>6.6150634225290619E-2</v>
      </c>
      <c r="M55" s="174">
        <f t="shared" si="68"/>
        <v>0.10772330590604152</v>
      </c>
      <c r="N55" s="174">
        <f t="shared" si="68"/>
        <v>0.11173669679689725</v>
      </c>
      <c r="O55" s="174">
        <f t="shared" si="68"/>
        <v>0.20410418499520372</v>
      </c>
      <c r="P55" s="174">
        <f t="shared" si="68"/>
        <v>0.13071646584812741</v>
      </c>
      <c r="Q55" s="174">
        <f t="shared" si="68"/>
        <v>9.0431108226707621E-2</v>
      </c>
      <c r="R55" s="174">
        <f t="shared" si="68"/>
        <v>0.12179180955444553</v>
      </c>
      <c r="S55" s="174">
        <f t="shared" si="68"/>
        <v>0.14642655964807927</v>
      </c>
      <c r="T55" s="174">
        <f t="shared" si="68"/>
        <v>0.16084076436645975</v>
      </c>
      <c r="U55" s="174">
        <f t="shared" si="68"/>
        <v>0.22996704905184567</v>
      </c>
      <c r="V55" s="174">
        <f t="shared" si="68"/>
        <v>0.23659350212923969</v>
      </c>
      <c r="W55" s="174">
        <f t="shared" si="68"/>
        <v>0.40135188380958714</v>
      </c>
      <c r="X55" s="174">
        <f t="shared" si="68"/>
        <v>0.32970609059147798</v>
      </c>
      <c r="Y55" s="174">
        <f t="shared" si="68"/>
        <v>0.24549916379259423</v>
      </c>
      <c r="Z55" s="174">
        <f t="shared" si="68"/>
        <v>0.3929122584066207</v>
      </c>
      <c r="AA55" s="174">
        <f t="shared" si="68"/>
        <v>0.40846120987236639</v>
      </c>
      <c r="AB55" s="174">
        <f t="shared" si="68"/>
        <v>0.39821246724183784</v>
      </c>
      <c r="AC55" s="174">
        <f t="shared" si="68"/>
        <v>0.41354237219155798</v>
      </c>
      <c r="AD55" s="174">
        <f t="shared" si="68"/>
        <v>0.47180302317577705</v>
      </c>
      <c r="AE55" s="174">
        <f t="shared" si="68"/>
        <v>0.38890301325478638</v>
      </c>
      <c r="AF55" s="174">
        <f t="shared" si="68"/>
        <v>0.33244382510625287</v>
      </c>
      <c r="AG55" s="174">
        <f t="shared" si="68"/>
        <v>0.35244643029184336</v>
      </c>
      <c r="AH55" s="174">
        <f t="shared" si="68"/>
        <v>0.28352654541222194</v>
      </c>
      <c r="AI55" s="174">
        <f t="shared" ref="AI55:BN55" si="69">+AI47*1000000/AI146</f>
        <v>0.32342449976025478</v>
      </c>
      <c r="AJ55" s="174">
        <f t="shared" si="69"/>
        <v>0.43550994467976017</v>
      </c>
      <c r="AK55" s="174">
        <f t="shared" si="69"/>
        <v>0.43252710028171409</v>
      </c>
      <c r="AL55" s="174">
        <f t="shared" si="69"/>
        <v>0.46350797266333088</v>
      </c>
      <c r="AM55" s="174">
        <f t="shared" si="69"/>
        <v>0.53003582130576232</v>
      </c>
      <c r="AN55" s="174">
        <f t="shared" si="69"/>
        <v>0.48825435121132438</v>
      </c>
      <c r="AO55" s="174">
        <f t="shared" si="69"/>
        <v>0.43631603948944564</v>
      </c>
      <c r="AP55" s="174">
        <f t="shared" si="69"/>
        <v>0.49339634802096161</v>
      </c>
      <c r="AQ55" s="174">
        <f t="shared" si="69"/>
        <v>0.63791157082525696</v>
      </c>
      <c r="AR55" s="174">
        <f t="shared" si="69"/>
        <v>0.4061705440449479</v>
      </c>
      <c r="AS55" s="174">
        <f t="shared" si="69"/>
        <v>0.616479464612671</v>
      </c>
      <c r="AT55" s="174">
        <f t="shared" si="69"/>
        <v>0.39026068370082045</v>
      </c>
      <c r="AU55" s="174">
        <f t="shared" si="69"/>
        <v>0.42614046595726385</v>
      </c>
      <c r="AV55" s="174">
        <f t="shared" si="69"/>
        <v>0.26958087907585043</v>
      </c>
      <c r="AW55" s="174">
        <f t="shared" si="69"/>
        <v>0.21901583117303758</v>
      </c>
      <c r="AX55" s="174">
        <f t="shared" si="69"/>
        <v>0.20442397783096869</v>
      </c>
      <c r="AY55" s="174">
        <f t="shared" si="69"/>
        <v>0.30839779817977897</v>
      </c>
      <c r="AZ55" s="174">
        <f t="shared" si="69"/>
        <v>0.22799257747877341</v>
      </c>
      <c r="BA55" s="174">
        <f t="shared" si="69"/>
        <v>0.42705673080809353</v>
      </c>
      <c r="BB55" s="174">
        <f t="shared" si="69"/>
        <v>0.37557942860689336</v>
      </c>
      <c r="BC55" s="174">
        <f t="shared" si="69"/>
        <v>0.45200356289053861</v>
      </c>
      <c r="BD55" s="174">
        <f t="shared" si="69"/>
        <v>0.38432632661081362</v>
      </c>
      <c r="BE55" s="174">
        <f t="shared" si="69"/>
        <v>0.41957593934725557</v>
      </c>
      <c r="BF55" s="174">
        <f t="shared" si="69"/>
        <v>0.47288015587308435</v>
      </c>
      <c r="BG55" s="174">
        <f t="shared" si="69"/>
        <v>0.68608356234471402</v>
      </c>
      <c r="BH55" s="174">
        <f t="shared" si="69"/>
        <v>0.71907268674663816</v>
      </c>
      <c r="BI55" s="174">
        <f t="shared" si="69"/>
        <v>0.63850731363673641</v>
      </c>
      <c r="BJ55" s="174">
        <f t="shared" si="69"/>
        <v>0.80904385237666954</v>
      </c>
      <c r="BK55" s="174">
        <f t="shared" si="69"/>
        <v>0.67185402572402375</v>
      </c>
      <c r="BL55" s="174">
        <f t="shared" si="69"/>
        <v>0.63570325608447709</v>
      </c>
      <c r="BM55" s="174">
        <f t="shared" si="69"/>
        <v>0.70497218840546627</v>
      </c>
      <c r="BN55" s="174">
        <f t="shared" si="69"/>
        <v>0.67707736077060776</v>
      </c>
      <c r="BO55" s="174">
        <f t="shared" ref="BO55:CE55" si="70">+BO47*1000000/BO146</f>
        <v>0.69191791875055075</v>
      </c>
      <c r="BP55" s="174">
        <f t="shared" si="70"/>
        <v>0.59333490358666552</v>
      </c>
      <c r="BQ55" s="174">
        <f t="shared" si="70"/>
        <v>0.59387249977869849</v>
      </c>
      <c r="BR55" s="174">
        <f t="shared" si="70"/>
        <v>0.65377300488041545</v>
      </c>
      <c r="BS55" s="174">
        <f t="shared" si="70"/>
        <v>0.69093367824788077</v>
      </c>
      <c r="BT55" s="174">
        <f t="shared" si="70"/>
        <v>0.52823985633924164</v>
      </c>
      <c r="BU55" s="174">
        <f t="shared" si="70"/>
        <v>0.7070905859591784</v>
      </c>
      <c r="BV55" s="174">
        <f t="shared" si="70"/>
        <v>0.39563424151375076</v>
      </c>
      <c r="BW55" s="175">
        <f t="shared" si="70"/>
        <v>0.57482538914082493</v>
      </c>
      <c r="BX55" s="175">
        <f t="shared" si="70"/>
        <v>0.66792322615405797</v>
      </c>
      <c r="BY55" s="175">
        <f t="shared" si="70"/>
        <v>0.90678019280739963</v>
      </c>
      <c r="BZ55" s="174">
        <f t="shared" si="70"/>
        <v>0.78724572905669654</v>
      </c>
      <c r="CA55" s="174">
        <f t="shared" si="70"/>
        <v>1.9815634013592247</v>
      </c>
      <c r="CB55" s="174">
        <f t="shared" si="70"/>
        <v>1.8253952085483467</v>
      </c>
      <c r="CC55" s="312">
        <f t="shared" si="70"/>
        <v>2.1492556751856773</v>
      </c>
      <c r="CD55" s="312">
        <f t="shared" si="70"/>
        <v>2.6976948158249394</v>
      </c>
      <c r="CE55" s="312">
        <f t="shared" si="70"/>
        <v>4.0766035596957169</v>
      </c>
      <c r="CF55" s="284">
        <f t="shared" ref="CF55" si="71">+CF47*1000000/CF146</f>
        <v>2.9081608808474626</v>
      </c>
      <c r="CG55" s="332"/>
      <c r="CH55" s="457"/>
      <c r="CI55" s="457"/>
      <c r="CJ55" s="457"/>
      <c r="CK55" s="457"/>
      <c r="CL55" s="457"/>
      <c r="CM55" s="457"/>
      <c r="CN55" s="457"/>
      <c r="CO55" s="457"/>
      <c r="CP55" s="457"/>
    </row>
    <row r="56" spans="1:94" ht="15" x14ac:dyDescent="0.2">
      <c r="A56" s="43" t="s">
        <v>217</v>
      </c>
      <c r="B56" s="11"/>
      <c r="C56" s="174">
        <f t="shared" ref="C56:AH56" si="72">+C47*1000000/C147</f>
        <v>-6.3435921534977938E-3</v>
      </c>
      <c r="D56" s="174">
        <f t="shared" si="72"/>
        <v>-1.4098679986914886E-2</v>
      </c>
      <c r="E56" s="174">
        <f t="shared" si="72"/>
        <v>5.5529877852665364E-3</v>
      </c>
      <c r="F56" s="174">
        <f t="shared" si="72"/>
        <v>7.2442379203216473E-2</v>
      </c>
      <c r="G56" s="174">
        <f t="shared" si="72"/>
        <v>1.3232362689189456E-2</v>
      </c>
      <c r="H56" s="174">
        <f t="shared" si="72"/>
        <v>3.2667692539982991E-3</v>
      </c>
      <c r="I56" s="174">
        <f t="shared" si="72"/>
        <v>4.4735072095889228E-2</v>
      </c>
      <c r="J56" s="174">
        <f t="shared" si="72"/>
        <v>8.378945324928147E-2</v>
      </c>
      <c r="K56" s="174">
        <f t="shared" si="72"/>
        <v>3.2733885088720556E-2</v>
      </c>
      <c r="L56" s="174">
        <f t="shared" si="72"/>
        <v>6.5959427042271437E-2</v>
      </c>
      <c r="M56" s="174">
        <f t="shared" si="72"/>
        <v>0.10716860521407662</v>
      </c>
      <c r="N56" s="174">
        <f t="shared" si="72"/>
        <v>0.11042647997554153</v>
      </c>
      <c r="O56" s="174">
        <f t="shared" si="72"/>
        <v>0.20063996951541471</v>
      </c>
      <c r="P56" s="174">
        <f t="shared" si="72"/>
        <v>0.12833598428304152</v>
      </c>
      <c r="Q56" s="174">
        <f t="shared" si="72"/>
        <v>8.8855888754312232E-2</v>
      </c>
      <c r="R56" s="174">
        <f t="shared" si="72"/>
        <v>0.11951024524227334</v>
      </c>
      <c r="S56" s="174">
        <f t="shared" si="72"/>
        <v>0.14642655964807927</v>
      </c>
      <c r="T56" s="174">
        <f t="shared" si="72"/>
        <v>0.16084076436645975</v>
      </c>
      <c r="U56" s="174">
        <f t="shared" si="72"/>
        <v>0.22978824279626128</v>
      </c>
      <c r="V56" s="174">
        <f t="shared" si="72"/>
        <v>0.23592518838489429</v>
      </c>
      <c r="W56" s="174">
        <f t="shared" si="72"/>
        <v>0.3991815319244012</v>
      </c>
      <c r="X56" s="174">
        <f t="shared" si="72"/>
        <v>0.32743318898180601</v>
      </c>
      <c r="Y56" s="174">
        <f t="shared" si="72"/>
        <v>0.24380803064486287</v>
      </c>
      <c r="Z56" s="174">
        <f t="shared" si="72"/>
        <v>0.39033282785673412</v>
      </c>
      <c r="AA56" s="174">
        <f t="shared" si="72"/>
        <v>0.40570888276765199</v>
      </c>
      <c r="AB56" s="174">
        <f t="shared" si="72"/>
        <v>0.39531504387847727</v>
      </c>
      <c r="AC56" s="174">
        <f t="shared" si="72"/>
        <v>0.41051828754517844</v>
      </c>
      <c r="AD56" s="174">
        <f t="shared" si="72"/>
        <v>0.46798213146426493</v>
      </c>
      <c r="AE56" s="174">
        <f t="shared" si="72"/>
        <v>0.38553877577836981</v>
      </c>
      <c r="AF56" s="174">
        <f t="shared" si="72"/>
        <v>0.33058741866997438</v>
      </c>
      <c r="AG56" s="174">
        <f t="shared" si="72"/>
        <v>0.35131896932693696</v>
      </c>
      <c r="AH56" s="174">
        <f t="shared" si="72"/>
        <v>0.28302148870079019</v>
      </c>
      <c r="AI56" s="174">
        <f t="shared" ref="AI56:BN56" si="73">+AI47*1000000/AI147</f>
        <v>0.32340819894968637</v>
      </c>
      <c r="AJ56" s="174">
        <f t="shared" si="73"/>
        <v>0.434918086253341</v>
      </c>
      <c r="AK56" s="174">
        <f t="shared" si="73"/>
        <v>0.43103616109565285</v>
      </c>
      <c r="AL56" s="174">
        <f t="shared" si="73"/>
        <v>0.46079509465943908</v>
      </c>
      <c r="AM56" s="174">
        <f t="shared" si="73"/>
        <v>0.52578437753142027</v>
      </c>
      <c r="AN56" s="174">
        <f t="shared" si="73"/>
        <v>0.48302163494929351</v>
      </c>
      <c r="AO56" s="174">
        <f t="shared" si="73"/>
        <v>0.42817650112455519</v>
      </c>
      <c r="AP56" s="174">
        <f t="shared" si="73"/>
        <v>0.48525562081243795</v>
      </c>
      <c r="AQ56" s="174">
        <f t="shared" si="73"/>
        <v>0.62643025648264949</v>
      </c>
      <c r="AR56" s="174">
        <f t="shared" si="73"/>
        <v>0.40278274523052038</v>
      </c>
      <c r="AS56" s="174">
        <f t="shared" si="73"/>
        <v>0.61324189856486444</v>
      </c>
      <c r="AT56" s="174">
        <f t="shared" si="73"/>
        <v>0.38822387478656684</v>
      </c>
      <c r="AU56" s="174">
        <f t="shared" si="73"/>
        <v>0.42335301418317567</v>
      </c>
      <c r="AV56" s="174">
        <f t="shared" si="73"/>
        <v>0.26958087907585043</v>
      </c>
      <c r="AW56" s="174">
        <f t="shared" si="73"/>
        <v>0.21901583117303758</v>
      </c>
      <c r="AX56" s="174">
        <f t="shared" si="73"/>
        <v>0.20442397783096869</v>
      </c>
      <c r="AY56" s="174">
        <f t="shared" si="73"/>
        <v>0.30839779817977897</v>
      </c>
      <c r="AZ56" s="174">
        <f t="shared" si="73"/>
        <v>0.22799257747877341</v>
      </c>
      <c r="BA56" s="174">
        <f t="shared" si="73"/>
        <v>0.42705673080809353</v>
      </c>
      <c r="BB56" s="174">
        <f t="shared" si="73"/>
        <v>0.37394599771891063</v>
      </c>
      <c r="BC56" s="174">
        <f t="shared" si="73"/>
        <v>0.44808389668378096</v>
      </c>
      <c r="BD56" s="174">
        <f t="shared" si="73"/>
        <v>0.38056179495032882</v>
      </c>
      <c r="BE56" s="174">
        <f t="shared" si="73"/>
        <v>0.41547378828958431</v>
      </c>
      <c r="BF56" s="174">
        <f t="shared" si="73"/>
        <v>0.4689941430084883</v>
      </c>
      <c r="BG56" s="174">
        <f t="shared" si="73"/>
        <v>0.67744734754382319</v>
      </c>
      <c r="BH56" s="174">
        <f t="shared" si="73"/>
        <v>0.7118832961579985</v>
      </c>
      <c r="BI56" s="174">
        <f t="shared" si="73"/>
        <v>0.63226761074398685</v>
      </c>
      <c r="BJ56" s="174">
        <f t="shared" si="73"/>
        <v>0.80040167298378817</v>
      </c>
      <c r="BK56" s="174">
        <f t="shared" si="73"/>
        <v>0.66576495529673529</v>
      </c>
      <c r="BL56" s="174">
        <f t="shared" si="73"/>
        <v>0.63555026540854309</v>
      </c>
      <c r="BM56" s="174">
        <f t="shared" si="73"/>
        <v>0.70497218840546627</v>
      </c>
      <c r="BN56" s="174">
        <f t="shared" si="73"/>
        <v>0.67587687125027252</v>
      </c>
      <c r="BO56" s="174">
        <f t="shared" ref="BO56:CE56" si="74">+BO47*1000000/BO147</f>
        <v>0.68994026676189923</v>
      </c>
      <c r="BP56" s="174">
        <f t="shared" si="74"/>
        <v>0.59220128712537079</v>
      </c>
      <c r="BQ56" s="174">
        <f t="shared" si="74"/>
        <v>0.59387249977869849</v>
      </c>
      <c r="BR56" s="174">
        <f t="shared" si="74"/>
        <v>0.65377300488041545</v>
      </c>
      <c r="BS56" s="174">
        <f t="shared" si="74"/>
        <v>0.68807661868362513</v>
      </c>
      <c r="BT56" s="174">
        <f t="shared" si="74"/>
        <v>0.52607698291854832</v>
      </c>
      <c r="BU56" s="174">
        <f t="shared" si="74"/>
        <v>0.70608734974154519</v>
      </c>
      <c r="BV56" s="174">
        <f t="shared" si="74"/>
        <v>0.39384422039549871</v>
      </c>
      <c r="BW56" s="175">
        <f t="shared" si="74"/>
        <v>0.57404043547347772</v>
      </c>
      <c r="BX56" s="175">
        <f t="shared" si="74"/>
        <v>0.66792322615405797</v>
      </c>
      <c r="BY56" s="175">
        <f t="shared" si="74"/>
        <v>0.90678019280739963</v>
      </c>
      <c r="BZ56" s="174">
        <f t="shared" si="74"/>
        <v>0.78724572905669654</v>
      </c>
      <c r="CA56" s="174">
        <f t="shared" si="74"/>
        <v>1.9789178411865405</v>
      </c>
      <c r="CB56" s="174">
        <f t="shared" si="74"/>
        <v>1.8069170813260205</v>
      </c>
      <c r="CC56" s="312">
        <f t="shared" si="74"/>
        <v>2.1241259659036866</v>
      </c>
      <c r="CD56" s="312">
        <f t="shared" si="74"/>
        <v>2.6603370557197135</v>
      </c>
      <c r="CE56" s="312">
        <f t="shared" si="74"/>
        <v>3.9896350848440445</v>
      </c>
      <c r="CF56" s="284">
        <f t="shared" ref="CF56" si="75">+CF47*1000000/CF147</f>
        <v>2.8410434838129976</v>
      </c>
      <c r="CH56" s="457"/>
      <c r="CI56" s="457"/>
      <c r="CJ56" s="457"/>
      <c r="CK56" s="457"/>
      <c r="CL56" s="457"/>
      <c r="CM56" s="457"/>
      <c r="CN56" s="457"/>
      <c r="CO56" s="457"/>
      <c r="CP56" s="457"/>
    </row>
    <row r="57" spans="1:94" x14ac:dyDescent="0.2">
      <c r="A57" s="43" t="s">
        <v>124</v>
      </c>
      <c r="B57" s="44"/>
      <c r="C57" s="122" t="s">
        <v>44</v>
      </c>
      <c r="D57" s="122" t="s">
        <v>44</v>
      </c>
      <c r="E57" s="208">
        <f t="shared" ref="E57:AJ57" si="76">E47/((D60+E60)/2)*4</f>
        <v>8.3761636525348203E-3</v>
      </c>
      <c r="F57" s="208">
        <f t="shared" si="76"/>
        <v>0.12555407854984901</v>
      </c>
      <c r="G57" s="208">
        <f t="shared" si="76"/>
        <v>3.9514213624894858E-2</v>
      </c>
      <c r="H57" s="208">
        <f t="shared" si="76"/>
        <v>9.7753301489182463E-3</v>
      </c>
      <c r="I57" s="208">
        <f t="shared" si="76"/>
        <v>0.13277641168289289</v>
      </c>
      <c r="J57" s="208">
        <f t="shared" si="76"/>
        <v>0.2392378508420209</v>
      </c>
      <c r="K57" s="208">
        <f t="shared" si="76"/>
        <v>9.042916989914665E-2</v>
      </c>
      <c r="L57" s="208">
        <f t="shared" si="76"/>
        <v>0.17762178517397878</v>
      </c>
      <c r="M57" s="208">
        <f t="shared" si="76"/>
        <v>0.27529676025917915</v>
      </c>
      <c r="N57" s="208">
        <f t="shared" si="76"/>
        <v>0.2685400135409613</v>
      </c>
      <c r="O57" s="208">
        <f t="shared" si="76"/>
        <v>0.4771758507135016</v>
      </c>
      <c r="P57" s="208">
        <f t="shared" si="76"/>
        <v>0.29604831986388763</v>
      </c>
      <c r="Q57" s="208">
        <f t="shared" si="76"/>
        <v>0.19396060422960729</v>
      </c>
      <c r="R57" s="208">
        <f t="shared" si="76"/>
        <v>0.24917948126801148</v>
      </c>
      <c r="S57" s="208">
        <f t="shared" si="76"/>
        <v>0.29836127330947443</v>
      </c>
      <c r="T57" s="208">
        <f t="shared" si="76"/>
        <v>0.32139687158966901</v>
      </c>
      <c r="U57" s="208">
        <f t="shared" si="76"/>
        <v>0.41773809523809541</v>
      </c>
      <c r="V57" s="208">
        <f t="shared" si="76"/>
        <v>0.38645257210823691</v>
      </c>
      <c r="W57" s="208">
        <f t="shared" si="76"/>
        <v>0.57812508194571899</v>
      </c>
      <c r="X57" s="208">
        <f t="shared" si="76"/>
        <v>0.44829702970297036</v>
      </c>
      <c r="Y57" s="208">
        <f t="shared" si="76"/>
        <v>0.32343446456409625</v>
      </c>
      <c r="Z57" s="208">
        <f t="shared" si="76"/>
        <v>0.46732055862292959</v>
      </c>
      <c r="AA57" s="208">
        <f t="shared" si="76"/>
        <v>0.48586671424859229</v>
      </c>
      <c r="AB57" s="208">
        <f t="shared" si="76"/>
        <v>0.47352197458599399</v>
      </c>
      <c r="AC57" s="208">
        <f t="shared" si="76"/>
        <v>0.4376541751199306</v>
      </c>
      <c r="AD57" s="208">
        <f t="shared" si="76"/>
        <v>0.45940663001782528</v>
      </c>
      <c r="AE57" s="208">
        <f t="shared" si="76"/>
        <v>0.35208686133333328</v>
      </c>
      <c r="AF57" s="208">
        <f t="shared" si="76"/>
        <v>0.31412107133448897</v>
      </c>
      <c r="AG57" s="208">
        <f t="shared" si="76"/>
        <v>0.34835649585585576</v>
      </c>
      <c r="AH57" s="208">
        <f t="shared" si="76"/>
        <v>0.25788375845747308</v>
      </c>
      <c r="AI57" s="208">
        <f t="shared" si="76"/>
        <v>0.2744392221179508</v>
      </c>
      <c r="AJ57" s="208">
        <f t="shared" si="76"/>
        <v>0.38680590677938809</v>
      </c>
      <c r="AK57" s="208">
        <f t="shared" ref="AK57:BP57" si="77">AK47/((AJ60+AK60)/2)*4</f>
        <v>0.39760212286666674</v>
      </c>
      <c r="AL57" s="208">
        <f t="shared" si="77"/>
        <v>0.38646839310657594</v>
      </c>
      <c r="AM57" s="208">
        <f t="shared" si="77"/>
        <v>0.40046907304109591</v>
      </c>
      <c r="AN57" s="208">
        <f t="shared" si="77"/>
        <v>0.38206303530410179</v>
      </c>
      <c r="AO57" s="208">
        <f t="shared" si="77"/>
        <v>0.35263379401681977</v>
      </c>
      <c r="AP57" s="208">
        <f t="shared" si="77"/>
        <v>0.35763928357976654</v>
      </c>
      <c r="AQ57" s="208">
        <f t="shared" si="77"/>
        <v>0.41572013062937052</v>
      </c>
      <c r="AR57" s="208">
        <f t="shared" si="77"/>
        <v>0.27315242122546107</v>
      </c>
      <c r="AS57" s="208">
        <f t="shared" si="77"/>
        <v>0.43414677638711197</v>
      </c>
      <c r="AT57" s="208">
        <f t="shared" si="77"/>
        <v>0.25792352224988196</v>
      </c>
      <c r="AU57" s="208">
        <f t="shared" si="77"/>
        <v>0.26610874743145013</v>
      </c>
      <c r="AV57" s="208">
        <f t="shared" si="77"/>
        <v>0.18160421627613887</v>
      </c>
      <c r="AW57" s="208">
        <f t="shared" si="77"/>
        <v>0.16173421223235296</v>
      </c>
      <c r="AX57" s="208">
        <f t="shared" si="77"/>
        <v>0.14520261295510453</v>
      </c>
      <c r="AY57" s="208">
        <f t="shared" si="77"/>
        <v>0.20939682539682539</v>
      </c>
      <c r="AZ57" s="208">
        <f t="shared" si="77"/>
        <v>0.16977433913604129</v>
      </c>
      <c r="BA57" s="208">
        <f t="shared" si="77"/>
        <v>0.3478343582510578</v>
      </c>
      <c r="BB57" s="208">
        <f t="shared" si="77"/>
        <v>0.2827740651890483</v>
      </c>
      <c r="BC57" s="208">
        <f t="shared" si="77"/>
        <v>0.31581455578947371</v>
      </c>
      <c r="BD57" s="208">
        <f t="shared" si="77"/>
        <v>0.28785839481193259</v>
      </c>
      <c r="BE57" s="208">
        <f t="shared" si="77"/>
        <v>0.33887355300699307</v>
      </c>
      <c r="BF57" s="208">
        <f t="shared" si="77"/>
        <v>0.34964973065300903</v>
      </c>
      <c r="BG57" s="208">
        <f t="shared" si="77"/>
        <v>0.5189208434839554</v>
      </c>
      <c r="BH57" s="208">
        <f t="shared" si="77"/>
        <v>0.51666861443553369</v>
      </c>
      <c r="BI57" s="208">
        <f t="shared" si="77"/>
        <v>0.3911568851774529</v>
      </c>
      <c r="BJ57" s="208">
        <f t="shared" si="77"/>
        <v>0.44520682606657291</v>
      </c>
      <c r="BK57" s="208">
        <f t="shared" si="77"/>
        <v>0.33557350900425564</v>
      </c>
      <c r="BL57" s="208">
        <f t="shared" si="77"/>
        <v>0.32500937529564145</v>
      </c>
      <c r="BM57" s="208">
        <f t="shared" si="77"/>
        <v>0.36583669812173936</v>
      </c>
      <c r="BN57" s="208">
        <f t="shared" si="77"/>
        <v>0.32132419174552718</v>
      </c>
      <c r="BO57" s="208">
        <f t="shared" si="77"/>
        <v>0.34324330520365792</v>
      </c>
      <c r="BP57" s="208">
        <f t="shared" si="77"/>
        <v>0.31006083901926507</v>
      </c>
      <c r="BQ57" s="208">
        <f t="shared" ref="BQ57:CF57" si="78">BQ47/((BP60+BQ60)/2)*4</f>
        <v>0.28225592435785285</v>
      </c>
      <c r="BR57" s="208">
        <f t="shared" si="78"/>
        <v>0.28462583732946334</v>
      </c>
      <c r="BS57" s="208">
        <f t="shared" si="78"/>
        <v>0.30985375646806002</v>
      </c>
      <c r="BT57" s="208">
        <f t="shared" si="78"/>
        <v>0.24642125777986171</v>
      </c>
      <c r="BU57" s="208">
        <f t="shared" si="78"/>
        <v>0.29726911755903279</v>
      </c>
      <c r="BV57" s="208">
        <f t="shared" si="78"/>
        <v>0.15197044814715094</v>
      </c>
      <c r="BW57" s="249">
        <f t="shared" si="78"/>
        <v>0.22970624043912144</v>
      </c>
      <c r="BX57" s="249">
        <f t="shared" si="78"/>
        <v>0.27463788944809775</v>
      </c>
      <c r="BY57" s="249">
        <f t="shared" si="78"/>
        <v>0.32718216808391698</v>
      </c>
      <c r="BZ57" s="208">
        <f t="shared" si="78"/>
        <v>0.25591702468924876</v>
      </c>
      <c r="CA57" s="208">
        <f t="shared" si="78"/>
        <v>0.64446421256241815</v>
      </c>
      <c r="CB57" s="208">
        <f t="shared" si="78"/>
        <v>0.55999277160438277</v>
      </c>
      <c r="CC57" s="257">
        <f t="shared" si="78"/>
        <v>0.55321639562525304</v>
      </c>
      <c r="CD57" s="257">
        <f t="shared" si="78"/>
        <v>0.57780343914256094</v>
      </c>
      <c r="CE57" s="257">
        <f t="shared" si="78"/>
        <v>0.73859271509988789</v>
      </c>
      <c r="CF57" s="315">
        <f t="shared" si="78"/>
        <v>0.46284169139593961</v>
      </c>
      <c r="CG57" s="113"/>
      <c r="CH57" s="457"/>
      <c r="CI57" s="457"/>
      <c r="CJ57" s="457"/>
      <c r="CK57" s="457"/>
      <c r="CL57" s="457"/>
      <c r="CM57" s="457"/>
      <c r="CN57" s="457"/>
      <c r="CO57" s="457"/>
      <c r="CP57" s="457"/>
    </row>
    <row r="58" spans="1:94" x14ac:dyDescent="0.2">
      <c r="A58" s="10"/>
      <c r="B58" s="11"/>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8"/>
      <c r="AD58" s="158"/>
      <c r="AE58" s="158"/>
      <c r="AF58" s="158"/>
      <c r="AG58" s="158"/>
      <c r="AH58" s="158"/>
      <c r="AI58" s="158"/>
      <c r="AJ58" s="157"/>
      <c r="AK58" s="159"/>
      <c r="AL58" s="157"/>
      <c r="AM58" s="158"/>
      <c r="AN58" s="157"/>
      <c r="AO58" s="157"/>
      <c r="AP58" s="157"/>
      <c r="AQ58" s="157"/>
      <c r="AR58" s="157"/>
      <c r="AS58" s="159"/>
      <c r="AT58" s="158"/>
      <c r="AU58" s="158"/>
      <c r="AV58" s="157"/>
      <c r="AW58" s="157"/>
      <c r="AX58" s="157"/>
      <c r="AY58" s="157"/>
      <c r="AZ58" s="157"/>
      <c r="BA58" s="157"/>
      <c r="BB58" s="157"/>
      <c r="BC58" s="157"/>
      <c r="BD58" s="157"/>
      <c r="BE58" s="157"/>
      <c r="BF58" s="157"/>
      <c r="BG58" s="157"/>
      <c r="BH58" s="157"/>
      <c r="BI58" s="158"/>
      <c r="BJ58" s="157"/>
      <c r="BK58" s="157"/>
      <c r="BL58" s="157"/>
      <c r="BM58" s="157"/>
      <c r="BN58" s="157"/>
      <c r="BO58" s="157"/>
      <c r="BP58" s="159"/>
      <c r="BQ58" s="157"/>
      <c r="BR58" s="159"/>
      <c r="BS58" s="157"/>
      <c r="BT58" s="157"/>
      <c r="BU58" s="157"/>
      <c r="BV58" s="157"/>
      <c r="BW58" s="158"/>
      <c r="BX58" s="158"/>
      <c r="BY58" s="158"/>
      <c r="BZ58" s="157"/>
      <c r="CA58" s="157"/>
      <c r="CB58" s="157"/>
      <c r="CC58" s="311"/>
      <c r="CD58" s="311"/>
      <c r="CE58" s="311"/>
      <c r="CF58" s="334"/>
      <c r="CH58" s="457"/>
      <c r="CI58" s="457"/>
      <c r="CJ58" s="457"/>
      <c r="CK58" s="457"/>
      <c r="CL58" s="457"/>
      <c r="CM58" s="457"/>
      <c r="CN58" s="457"/>
      <c r="CO58" s="457"/>
      <c r="CP58" s="457"/>
    </row>
    <row r="59" spans="1:94" x14ac:dyDescent="0.2">
      <c r="A59" s="237" t="s">
        <v>126</v>
      </c>
      <c r="B59" s="1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9"/>
      <c r="AD59" s="29"/>
      <c r="AE59" s="29"/>
      <c r="AF59" s="29"/>
      <c r="AG59" s="29"/>
      <c r="AH59" s="29"/>
      <c r="AI59" s="29"/>
      <c r="AJ59" s="28"/>
      <c r="AK59" s="7"/>
      <c r="AL59" s="28"/>
      <c r="AM59" s="29"/>
      <c r="AN59" s="28"/>
      <c r="AO59" s="28"/>
      <c r="AP59" s="28"/>
      <c r="AQ59" s="28"/>
      <c r="AR59" s="28"/>
      <c r="AS59" s="7"/>
      <c r="AT59" s="29"/>
      <c r="AU59" s="29"/>
      <c r="AV59" s="28"/>
      <c r="AW59" s="28"/>
      <c r="AX59" s="28"/>
      <c r="AY59" s="28"/>
      <c r="AZ59" s="28"/>
      <c r="BA59" s="28"/>
      <c r="BB59" s="28"/>
      <c r="BC59" s="28"/>
      <c r="BD59" s="28"/>
      <c r="BE59" s="28"/>
      <c r="BF59" s="28"/>
      <c r="BG59" s="28"/>
      <c r="BH59" s="28"/>
      <c r="BI59" s="29"/>
      <c r="BJ59" s="28"/>
      <c r="BK59" s="28"/>
      <c r="BL59" s="28"/>
      <c r="BM59" s="28"/>
      <c r="BN59" s="28"/>
      <c r="BO59" s="28"/>
      <c r="BP59" s="7"/>
      <c r="BQ59" s="28"/>
      <c r="BR59" s="28"/>
      <c r="BS59" s="28"/>
      <c r="BT59" s="28"/>
      <c r="BU59" s="28"/>
      <c r="BV59" s="28"/>
      <c r="BW59" s="29"/>
      <c r="BX59" s="29"/>
      <c r="BY59" s="29"/>
      <c r="BZ59" s="28"/>
      <c r="CA59" s="28"/>
      <c r="CB59" s="28"/>
      <c r="CC59" s="291"/>
      <c r="CD59" s="291"/>
      <c r="CE59" s="291"/>
      <c r="CF59" s="34"/>
      <c r="CH59" s="457"/>
      <c r="CI59" s="457"/>
      <c r="CJ59" s="457"/>
      <c r="CK59" s="457"/>
      <c r="CL59" s="457"/>
      <c r="CM59" s="457"/>
      <c r="CN59" s="457"/>
      <c r="CO59" s="457"/>
      <c r="CP59" s="457"/>
    </row>
    <row r="60" spans="1:94" x14ac:dyDescent="0.2">
      <c r="A60" s="35" t="s">
        <v>97</v>
      </c>
      <c r="B60" s="171">
        <v>355.3</v>
      </c>
      <c r="C60" s="37">
        <v>349.8</v>
      </c>
      <c r="D60" s="37">
        <v>323.2</v>
      </c>
      <c r="E60" s="37">
        <v>351.4</v>
      </c>
      <c r="F60" s="37">
        <v>178.2</v>
      </c>
      <c r="G60" s="37">
        <v>178.5</v>
      </c>
      <c r="H60" s="37">
        <v>177.4</v>
      </c>
      <c r="I60" s="37">
        <v>182.1</v>
      </c>
      <c r="J60" s="37">
        <v>192</v>
      </c>
      <c r="K60" s="37">
        <v>194.7</v>
      </c>
      <c r="L60" s="37">
        <v>201.9</v>
      </c>
      <c r="M60" s="37">
        <v>214.8</v>
      </c>
      <c r="N60" s="37">
        <v>228.3</v>
      </c>
      <c r="O60" s="37">
        <v>227.2</v>
      </c>
      <c r="P60" s="37">
        <v>243</v>
      </c>
      <c r="Q60" s="37">
        <v>253.5</v>
      </c>
      <c r="R60" s="37">
        <v>267</v>
      </c>
      <c r="S60" s="37">
        <v>263.89999999999998</v>
      </c>
      <c r="T60" s="37">
        <v>285.89999999999998</v>
      </c>
      <c r="U60" s="37">
        <v>318.89999999999998</v>
      </c>
      <c r="V60" s="37">
        <v>353.7</v>
      </c>
      <c r="W60" s="37">
        <v>409</v>
      </c>
      <c r="X60" s="37">
        <v>399</v>
      </c>
      <c r="Y60" s="37">
        <v>434.9</v>
      </c>
      <c r="Z60" s="37">
        <v>488.8</v>
      </c>
      <c r="AA60" s="37">
        <v>434.8</v>
      </c>
      <c r="AB60" s="37">
        <v>489.1</v>
      </c>
      <c r="AC60" s="38">
        <v>549</v>
      </c>
      <c r="AD60" s="38">
        <v>573</v>
      </c>
      <c r="AE60" s="38">
        <v>627</v>
      </c>
      <c r="AF60" s="38">
        <v>527</v>
      </c>
      <c r="AG60" s="38">
        <v>583</v>
      </c>
      <c r="AH60" s="38">
        <v>628</v>
      </c>
      <c r="AI60" s="38">
        <v>672</v>
      </c>
      <c r="AJ60" s="37">
        <v>570</v>
      </c>
      <c r="AK60" s="39">
        <v>630</v>
      </c>
      <c r="AL60" s="37">
        <v>693</v>
      </c>
      <c r="AM60" s="38">
        <v>767</v>
      </c>
      <c r="AN60" s="37">
        <v>647</v>
      </c>
      <c r="AO60" s="37">
        <v>729</v>
      </c>
      <c r="AP60" s="37">
        <v>813</v>
      </c>
      <c r="AQ60" s="37">
        <v>903</v>
      </c>
      <c r="AR60" s="37">
        <v>778</v>
      </c>
      <c r="AS60" s="39">
        <v>839.93</v>
      </c>
      <c r="AT60" s="38">
        <v>875.36</v>
      </c>
      <c r="AU60" s="38">
        <v>935</v>
      </c>
      <c r="AV60" s="37">
        <v>766</v>
      </c>
      <c r="AW60" s="37">
        <v>798</v>
      </c>
      <c r="AX60" s="37">
        <v>828</v>
      </c>
      <c r="AY60" s="37">
        <v>873</v>
      </c>
      <c r="AZ60" s="37">
        <v>678</v>
      </c>
      <c r="BA60" s="37">
        <v>740</v>
      </c>
      <c r="BB60" s="37">
        <v>794</v>
      </c>
      <c r="BC60" s="37">
        <v>859</v>
      </c>
      <c r="BD60" s="37">
        <v>683</v>
      </c>
      <c r="BE60" s="37">
        <v>747</v>
      </c>
      <c r="BF60" s="37">
        <v>815</v>
      </c>
      <c r="BG60" s="37">
        <v>712</v>
      </c>
      <c r="BH60" s="37">
        <v>909</v>
      </c>
      <c r="BI60" s="38">
        <v>1007</v>
      </c>
      <c r="BJ60" s="37">
        <v>1126</v>
      </c>
      <c r="BK60" s="37">
        <v>1224</v>
      </c>
      <c r="BL60" s="37">
        <v>1093</v>
      </c>
      <c r="BM60" s="37">
        <v>1207</v>
      </c>
      <c r="BN60" s="37">
        <v>1308</v>
      </c>
      <c r="BO60" s="37">
        <v>1098</v>
      </c>
      <c r="BP60" s="39">
        <v>1186</v>
      </c>
      <c r="BQ60" s="37">
        <v>1329</v>
      </c>
      <c r="BR60" s="39">
        <v>1427</v>
      </c>
      <c r="BS60" s="37">
        <v>1248.5073407846701</v>
      </c>
      <c r="BT60" s="37">
        <v>1323.5434867709901</v>
      </c>
      <c r="BU60" s="37">
        <v>1538.16049786965</v>
      </c>
      <c r="BV60" s="37">
        <f>1649.3034072737-35</f>
        <v>1614.3034072737</v>
      </c>
      <c r="BW60" s="38">
        <v>1415.9471724044899</v>
      </c>
      <c r="BX60" s="38">
        <v>1529.0269816428399</v>
      </c>
      <c r="BY60" s="38">
        <v>1839.2725028754201</v>
      </c>
      <c r="BZ60" s="37">
        <v>1945.3174540872683</v>
      </c>
      <c r="CA60" s="37">
        <v>1837.5128891920999</v>
      </c>
      <c r="CB60" s="37">
        <v>2172.8362374911799</v>
      </c>
      <c r="CC60" s="292">
        <v>2615.5433411971198</v>
      </c>
      <c r="CD60" s="292">
        <v>3172.1498589487301</v>
      </c>
      <c r="CE60" s="292">
        <v>3669.9004980705199</v>
      </c>
      <c r="CF60" s="269">
        <v>4119.0467569329603</v>
      </c>
      <c r="CG60" s="464"/>
      <c r="CH60" s="457"/>
      <c r="CI60" s="457"/>
      <c r="CJ60" s="457"/>
      <c r="CK60" s="457"/>
      <c r="CL60" s="457"/>
      <c r="CM60" s="457"/>
      <c r="CN60" s="457"/>
      <c r="CO60" s="457"/>
      <c r="CP60" s="457"/>
    </row>
    <row r="61" spans="1:94" ht="14.25" customHeight="1" x14ac:dyDescent="0.2">
      <c r="A61" s="35" t="s">
        <v>218</v>
      </c>
      <c r="B61" s="407"/>
      <c r="C61" s="37" t="s">
        <v>35</v>
      </c>
      <c r="D61" s="37" t="s">
        <v>35</v>
      </c>
      <c r="E61" s="37" t="s">
        <v>35</v>
      </c>
      <c r="F61" s="37" t="s">
        <v>35</v>
      </c>
      <c r="G61" s="37" t="s">
        <v>35</v>
      </c>
      <c r="H61" s="37" t="s">
        <v>35</v>
      </c>
      <c r="I61" s="37" t="s">
        <v>35</v>
      </c>
      <c r="J61" s="37" t="s">
        <v>35</v>
      </c>
      <c r="K61" s="37" t="s">
        <v>35</v>
      </c>
      <c r="L61" s="37" t="s">
        <v>35</v>
      </c>
      <c r="M61" s="37" t="s">
        <v>35</v>
      </c>
      <c r="N61" s="37" t="s">
        <v>35</v>
      </c>
      <c r="O61" s="37" t="s">
        <v>35</v>
      </c>
      <c r="P61" s="37" t="s">
        <v>35</v>
      </c>
      <c r="Q61" s="37" t="s">
        <v>35</v>
      </c>
      <c r="R61" s="37" t="s">
        <v>35</v>
      </c>
      <c r="S61" s="37" t="s">
        <v>35</v>
      </c>
      <c r="T61" s="37" t="s">
        <v>35</v>
      </c>
      <c r="U61" s="37" t="s">
        <v>35</v>
      </c>
      <c r="V61" s="37" t="s">
        <v>35</v>
      </c>
      <c r="W61" s="37" t="s">
        <v>35</v>
      </c>
      <c r="X61" s="37" t="s">
        <v>35</v>
      </c>
      <c r="Y61" s="37" t="s">
        <v>35</v>
      </c>
      <c r="Z61" s="37" t="s">
        <v>35</v>
      </c>
      <c r="AA61" s="95" t="s">
        <v>50</v>
      </c>
      <c r="AB61" s="95" t="s">
        <v>50</v>
      </c>
      <c r="AC61" s="95" t="s">
        <v>50</v>
      </c>
      <c r="AD61" s="95" t="s">
        <v>50</v>
      </c>
      <c r="AE61" s="95" t="s">
        <v>50</v>
      </c>
      <c r="AF61" s="95" t="s">
        <v>50</v>
      </c>
      <c r="AG61" s="95" t="s">
        <v>50</v>
      </c>
      <c r="AH61" s="95" t="s">
        <v>50</v>
      </c>
      <c r="AI61" s="95" t="s">
        <v>50</v>
      </c>
      <c r="AJ61" s="95" t="s">
        <v>50</v>
      </c>
      <c r="AK61" s="95" t="s">
        <v>50</v>
      </c>
      <c r="AL61" s="95" t="s">
        <v>50</v>
      </c>
      <c r="AM61" s="95" t="s">
        <v>50</v>
      </c>
      <c r="AN61" s="95" t="s">
        <v>50</v>
      </c>
      <c r="AO61" s="95" t="s">
        <v>50</v>
      </c>
      <c r="AP61" s="95" t="s">
        <v>50</v>
      </c>
      <c r="AQ61" s="95" t="s">
        <v>50</v>
      </c>
      <c r="AR61" s="95" t="s">
        <v>50</v>
      </c>
      <c r="AS61" s="95" t="s">
        <v>50</v>
      </c>
      <c r="AT61" s="95" t="s">
        <v>50</v>
      </c>
      <c r="AU61" s="95" t="s">
        <v>50</v>
      </c>
      <c r="AV61" s="95" t="s">
        <v>50</v>
      </c>
      <c r="AW61" s="95" t="s">
        <v>50</v>
      </c>
      <c r="AX61" s="95" t="s">
        <v>50</v>
      </c>
      <c r="AY61" s="95" t="s">
        <v>50</v>
      </c>
      <c r="AZ61" s="95" t="s">
        <v>50</v>
      </c>
      <c r="BA61" s="95" t="s">
        <v>50</v>
      </c>
      <c r="BB61" s="95" t="s">
        <v>50</v>
      </c>
      <c r="BC61" s="95" t="s">
        <v>50</v>
      </c>
      <c r="BD61" s="95" t="s">
        <v>50</v>
      </c>
      <c r="BE61" s="95" t="s">
        <v>50</v>
      </c>
      <c r="BF61" s="95" t="s">
        <v>50</v>
      </c>
      <c r="BG61" s="95" t="s">
        <v>50</v>
      </c>
      <c r="BH61" s="95" t="s">
        <v>50</v>
      </c>
      <c r="BI61" s="95" t="s">
        <v>50</v>
      </c>
      <c r="BJ61" s="95" t="s">
        <v>50</v>
      </c>
      <c r="BK61" s="95" t="s">
        <v>50</v>
      </c>
      <c r="BL61" s="95" t="s">
        <v>50</v>
      </c>
      <c r="BM61" s="95" t="s">
        <v>50</v>
      </c>
      <c r="BN61" s="95" t="s">
        <v>50</v>
      </c>
      <c r="BO61" s="95" t="s">
        <v>50</v>
      </c>
      <c r="BP61" s="95" t="s">
        <v>50</v>
      </c>
      <c r="BQ61" s="95" t="s">
        <v>50</v>
      </c>
      <c r="BR61" s="37" t="s">
        <v>50</v>
      </c>
      <c r="BS61" s="37" t="s">
        <v>50</v>
      </c>
      <c r="BT61" s="45" t="s">
        <v>50</v>
      </c>
      <c r="BU61" s="37" t="s">
        <v>50</v>
      </c>
      <c r="BV61" s="45" t="s">
        <v>50</v>
      </c>
      <c r="BW61" s="172">
        <v>2.8928588797146584</v>
      </c>
      <c r="BX61" s="172">
        <v>2.798882338658685</v>
      </c>
      <c r="BY61" s="172">
        <v>3.4692793277289207</v>
      </c>
      <c r="BZ61" s="101">
        <v>3.4516690427899892</v>
      </c>
      <c r="CA61" s="101">
        <v>2.5063570124446555</v>
      </c>
      <c r="CB61" s="101">
        <v>2.7856784753579151</v>
      </c>
      <c r="CC61" s="101">
        <v>3.0780976953440611</v>
      </c>
      <c r="CD61" s="101">
        <v>4.8517466646414364</v>
      </c>
      <c r="CE61" s="101">
        <v>4.324088968363041</v>
      </c>
      <c r="CF61" s="404">
        <v>4.72</v>
      </c>
      <c r="CG61" s="465"/>
      <c r="CH61" s="457"/>
      <c r="CI61" s="457"/>
      <c r="CJ61" s="457"/>
      <c r="CK61" s="457"/>
      <c r="CL61" s="457"/>
      <c r="CM61" s="457"/>
      <c r="CN61" s="457"/>
      <c r="CO61" s="457"/>
      <c r="CP61" s="457"/>
    </row>
    <row r="62" spans="1:94" x14ac:dyDescent="0.2">
      <c r="A62" s="35" t="s">
        <v>238</v>
      </c>
      <c r="B62" s="171"/>
      <c r="C62" s="37" t="s">
        <v>35</v>
      </c>
      <c r="D62" s="37" t="s">
        <v>35</v>
      </c>
      <c r="E62" s="37" t="s">
        <v>35</v>
      </c>
      <c r="F62" s="37" t="s">
        <v>35</v>
      </c>
      <c r="G62" s="37" t="s">
        <v>35</v>
      </c>
      <c r="H62" s="37" t="s">
        <v>35</v>
      </c>
      <c r="I62" s="37" t="s">
        <v>35</v>
      </c>
      <c r="J62" s="37" t="s">
        <v>35</v>
      </c>
      <c r="K62" s="37" t="s">
        <v>35</v>
      </c>
      <c r="L62" s="37" t="s">
        <v>35</v>
      </c>
      <c r="M62" s="37" t="s">
        <v>35</v>
      </c>
      <c r="N62" s="37" t="s">
        <v>35</v>
      </c>
      <c r="O62" s="37" t="s">
        <v>35</v>
      </c>
      <c r="P62" s="37" t="s">
        <v>35</v>
      </c>
      <c r="Q62" s="37" t="s">
        <v>35</v>
      </c>
      <c r="R62" s="37" t="s">
        <v>35</v>
      </c>
      <c r="S62" s="37" t="s">
        <v>35</v>
      </c>
      <c r="T62" s="37" t="s">
        <v>35</v>
      </c>
      <c r="U62" s="37" t="s">
        <v>35</v>
      </c>
      <c r="V62" s="37" t="s">
        <v>35</v>
      </c>
      <c r="W62" s="37" t="s">
        <v>35</v>
      </c>
      <c r="X62" s="37" t="s">
        <v>35</v>
      </c>
      <c r="Y62" s="37" t="s">
        <v>35</v>
      </c>
      <c r="Z62" s="37" t="s">
        <v>35</v>
      </c>
      <c r="AA62" s="95" t="s">
        <v>50</v>
      </c>
      <c r="AB62" s="95" t="s">
        <v>50</v>
      </c>
      <c r="AC62" s="95" t="s">
        <v>50</v>
      </c>
      <c r="AD62" s="95" t="s">
        <v>50</v>
      </c>
      <c r="AE62" s="95" t="s">
        <v>50</v>
      </c>
      <c r="AF62" s="95" t="s">
        <v>50</v>
      </c>
      <c r="AG62" s="95" t="s">
        <v>50</v>
      </c>
      <c r="AH62" s="95" t="s">
        <v>50</v>
      </c>
      <c r="AI62" s="95" t="s">
        <v>50</v>
      </c>
      <c r="AJ62" s="95" t="s">
        <v>50</v>
      </c>
      <c r="AK62" s="95" t="s">
        <v>50</v>
      </c>
      <c r="AL62" s="95" t="s">
        <v>50</v>
      </c>
      <c r="AM62" s="95" t="s">
        <v>50</v>
      </c>
      <c r="AN62" s="95" t="s">
        <v>50</v>
      </c>
      <c r="AO62" s="95" t="s">
        <v>50</v>
      </c>
      <c r="AP62" s="95" t="s">
        <v>50</v>
      </c>
      <c r="AQ62" s="95" t="s">
        <v>50</v>
      </c>
      <c r="AR62" s="95" t="s">
        <v>50</v>
      </c>
      <c r="AS62" s="95" t="s">
        <v>50</v>
      </c>
      <c r="AT62" s="95" t="s">
        <v>50</v>
      </c>
      <c r="AU62" s="95" t="s">
        <v>50</v>
      </c>
      <c r="AV62" s="95" t="s">
        <v>50</v>
      </c>
      <c r="AW62" s="95" t="s">
        <v>50</v>
      </c>
      <c r="AX62" s="95" t="s">
        <v>50</v>
      </c>
      <c r="AY62" s="95" t="s">
        <v>50</v>
      </c>
      <c r="AZ62" s="95" t="s">
        <v>50</v>
      </c>
      <c r="BA62" s="95" t="s">
        <v>50</v>
      </c>
      <c r="BB62" s="95" t="s">
        <v>50</v>
      </c>
      <c r="BC62" s="95" t="s">
        <v>50</v>
      </c>
      <c r="BD62" s="95" t="s">
        <v>50</v>
      </c>
      <c r="BE62" s="95" t="s">
        <v>50</v>
      </c>
      <c r="BF62" s="95" t="s">
        <v>50</v>
      </c>
      <c r="BG62" s="95" t="s">
        <v>50</v>
      </c>
      <c r="BH62" s="95" t="s">
        <v>50</v>
      </c>
      <c r="BI62" s="95" t="s">
        <v>50</v>
      </c>
      <c r="BJ62" s="95" t="s">
        <v>50</v>
      </c>
      <c r="BK62" s="95" t="s">
        <v>50</v>
      </c>
      <c r="BL62" s="95" t="s">
        <v>50</v>
      </c>
      <c r="BM62" s="95" t="s">
        <v>50</v>
      </c>
      <c r="BN62" s="95" t="s">
        <v>50</v>
      </c>
      <c r="BO62" s="95" t="s">
        <v>50</v>
      </c>
      <c r="BP62" s="95" t="s">
        <v>50</v>
      </c>
      <c r="BQ62" s="95" t="s">
        <v>50</v>
      </c>
      <c r="BR62" s="95" t="s">
        <v>50</v>
      </c>
      <c r="BS62" s="95">
        <v>0.1633</v>
      </c>
      <c r="BT62" s="101">
        <v>0.156</v>
      </c>
      <c r="BU62" s="101">
        <v>0.17699999999999999</v>
      </c>
      <c r="BV62" s="101">
        <v>0.17599999999999999</v>
      </c>
      <c r="BW62" s="172">
        <v>0.16</v>
      </c>
      <c r="BX62" s="172">
        <v>0.151</v>
      </c>
      <c r="BY62" s="172">
        <v>0.18685346353307411</v>
      </c>
      <c r="BZ62" s="101">
        <v>0.16858532715591101</v>
      </c>
      <c r="CA62" s="101">
        <v>0.17277172804745999</v>
      </c>
      <c r="CB62" s="101">
        <v>0.16262894564674699</v>
      </c>
      <c r="CC62" s="101">
        <v>0.17939962743592</v>
      </c>
      <c r="CD62" s="101">
        <v>0.24379043893188301</v>
      </c>
      <c r="CE62" s="101">
        <v>0.23872019612043999</v>
      </c>
      <c r="CF62" s="404">
        <v>0.24979999999999999</v>
      </c>
      <c r="CG62" s="465"/>
      <c r="CH62" s="457"/>
      <c r="CI62" s="457"/>
      <c r="CJ62" s="457"/>
      <c r="CK62" s="457"/>
      <c r="CL62" s="457"/>
      <c r="CM62" s="457"/>
      <c r="CN62" s="457"/>
      <c r="CO62" s="457"/>
      <c r="CP62" s="457"/>
    </row>
    <row r="63" spans="1:94" x14ac:dyDescent="0.2">
      <c r="A63" s="35" t="s">
        <v>208</v>
      </c>
      <c r="B63" s="171"/>
      <c r="C63" s="37" t="s">
        <v>35</v>
      </c>
      <c r="D63" s="37" t="s">
        <v>35</v>
      </c>
      <c r="E63" s="37" t="s">
        <v>35</v>
      </c>
      <c r="F63" s="37" t="s">
        <v>35</v>
      </c>
      <c r="G63" s="37" t="s">
        <v>35</v>
      </c>
      <c r="H63" s="37" t="s">
        <v>35</v>
      </c>
      <c r="I63" s="37" t="s">
        <v>35</v>
      </c>
      <c r="J63" s="37" t="s">
        <v>35</v>
      </c>
      <c r="K63" s="37" t="s">
        <v>35</v>
      </c>
      <c r="L63" s="37" t="s">
        <v>35</v>
      </c>
      <c r="M63" s="37" t="s">
        <v>35</v>
      </c>
      <c r="N63" s="37" t="s">
        <v>35</v>
      </c>
      <c r="O63" s="37" t="s">
        <v>35</v>
      </c>
      <c r="P63" s="37" t="s">
        <v>35</v>
      </c>
      <c r="Q63" s="37" t="s">
        <v>35</v>
      </c>
      <c r="R63" s="37" t="s">
        <v>35</v>
      </c>
      <c r="S63" s="37" t="s">
        <v>35</v>
      </c>
      <c r="T63" s="37" t="s">
        <v>35</v>
      </c>
      <c r="U63" s="37" t="s">
        <v>35</v>
      </c>
      <c r="V63" s="37" t="s">
        <v>35</v>
      </c>
      <c r="W63" s="37" t="s">
        <v>35</v>
      </c>
      <c r="X63" s="37" t="s">
        <v>35</v>
      </c>
      <c r="Y63" s="37" t="s">
        <v>35</v>
      </c>
      <c r="Z63" s="37" t="s">
        <v>35</v>
      </c>
      <c r="AA63" s="95" t="s">
        <v>50</v>
      </c>
      <c r="AB63" s="95" t="s">
        <v>50</v>
      </c>
      <c r="AC63" s="95" t="s">
        <v>50</v>
      </c>
      <c r="AD63" s="95" t="s">
        <v>50</v>
      </c>
      <c r="AE63" s="95" t="s">
        <v>50</v>
      </c>
      <c r="AF63" s="95" t="s">
        <v>50</v>
      </c>
      <c r="AG63" s="95" t="s">
        <v>50</v>
      </c>
      <c r="AH63" s="95" t="s">
        <v>50</v>
      </c>
      <c r="AI63" s="95" t="s">
        <v>50</v>
      </c>
      <c r="AJ63" s="95" t="s">
        <v>50</v>
      </c>
      <c r="AK63" s="95" t="s">
        <v>50</v>
      </c>
      <c r="AL63" s="95" t="s">
        <v>50</v>
      </c>
      <c r="AM63" s="95" t="s">
        <v>50</v>
      </c>
      <c r="AN63" s="95" t="s">
        <v>50</v>
      </c>
      <c r="AO63" s="95" t="s">
        <v>50</v>
      </c>
      <c r="AP63" s="95" t="s">
        <v>50</v>
      </c>
      <c r="AQ63" s="95" t="s">
        <v>50</v>
      </c>
      <c r="AR63" s="95" t="s">
        <v>50</v>
      </c>
      <c r="AS63" s="95" t="s">
        <v>50</v>
      </c>
      <c r="AT63" s="95" t="s">
        <v>50</v>
      </c>
      <c r="AU63" s="95" t="s">
        <v>50</v>
      </c>
      <c r="AV63" s="95" t="s">
        <v>50</v>
      </c>
      <c r="AW63" s="95" t="s">
        <v>50</v>
      </c>
      <c r="AX63" s="95" t="s">
        <v>50</v>
      </c>
      <c r="AY63" s="95" t="s">
        <v>50</v>
      </c>
      <c r="AZ63" s="95" t="s">
        <v>50</v>
      </c>
      <c r="BA63" s="95" t="s">
        <v>50</v>
      </c>
      <c r="BB63" s="95" t="s">
        <v>50</v>
      </c>
      <c r="BC63" s="95" t="s">
        <v>50</v>
      </c>
      <c r="BD63" s="95" t="s">
        <v>50</v>
      </c>
      <c r="BE63" s="95" t="s">
        <v>50</v>
      </c>
      <c r="BF63" s="95" t="s">
        <v>50</v>
      </c>
      <c r="BG63" s="95" t="s">
        <v>50</v>
      </c>
      <c r="BH63" s="95" t="s">
        <v>50</v>
      </c>
      <c r="BI63" s="95" t="s">
        <v>50</v>
      </c>
      <c r="BJ63" s="95" t="s">
        <v>50</v>
      </c>
      <c r="BK63" s="95" t="s">
        <v>50</v>
      </c>
      <c r="BL63" s="95" t="s">
        <v>50</v>
      </c>
      <c r="BM63" s="95" t="s">
        <v>50</v>
      </c>
      <c r="BN63" s="95" t="s">
        <v>50</v>
      </c>
      <c r="BO63" s="95" t="s">
        <v>50</v>
      </c>
      <c r="BP63" s="95" t="s">
        <v>50</v>
      </c>
      <c r="BQ63" s="95" t="s">
        <v>50</v>
      </c>
      <c r="BR63" s="95" t="s">
        <v>50</v>
      </c>
      <c r="BS63" s="95">
        <v>2.2000000000000002</v>
      </c>
      <c r="BT63" s="101">
        <v>2.12</v>
      </c>
      <c r="BU63" s="101">
        <v>2.36</v>
      </c>
      <c r="BV63" s="101">
        <v>2.35</v>
      </c>
      <c r="BW63" s="172">
        <v>2.14</v>
      </c>
      <c r="BX63" s="172">
        <v>2.04</v>
      </c>
      <c r="BY63" s="172">
        <v>2.46</v>
      </c>
      <c r="BZ63" s="101">
        <v>2.2265576587614606</v>
      </c>
      <c r="CA63" s="101">
        <v>2.2627896766384619</v>
      </c>
      <c r="CB63" s="101">
        <v>2.1348904011368774</v>
      </c>
      <c r="CC63" s="101">
        <v>2.3432497892143873</v>
      </c>
      <c r="CD63" s="101">
        <v>3.0473804866485388</v>
      </c>
      <c r="CE63" s="101">
        <v>2.9840024515055057</v>
      </c>
      <c r="CF63" s="404">
        <v>3.12</v>
      </c>
      <c r="CG63" s="466"/>
      <c r="CH63" s="457"/>
      <c r="CI63" s="457"/>
      <c r="CJ63" s="457"/>
      <c r="CK63" s="457"/>
      <c r="CL63" s="457"/>
      <c r="CM63" s="457"/>
      <c r="CN63" s="457"/>
      <c r="CO63" s="457"/>
      <c r="CP63" s="457"/>
    </row>
    <row r="64" spans="1:94" ht="14.25" customHeight="1" x14ac:dyDescent="0.2">
      <c r="A64" s="35" t="s">
        <v>219</v>
      </c>
      <c r="B64" s="171"/>
      <c r="C64" s="37" t="s">
        <v>35</v>
      </c>
      <c r="D64" s="37" t="s">
        <v>35</v>
      </c>
      <c r="E64" s="37" t="s">
        <v>35</v>
      </c>
      <c r="F64" s="37" t="s">
        <v>35</v>
      </c>
      <c r="G64" s="37" t="s">
        <v>35</v>
      </c>
      <c r="H64" s="37" t="s">
        <v>35</v>
      </c>
      <c r="I64" s="37" t="s">
        <v>35</v>
      </c>
      <c r="J64" s="37" t="s">
        <v>35</v>
      </c>
      <c r="K64" s="37" t="s">
        <v>35</v>
      </c>
      <c r="L64" s="37" t="s">
        <v>35</v>
      </c>
      <c r="M64" s="37" t="s">
        <v>35</v>
      </c>
      <c r="N64" s="37" t="s">
        <v>35</v>
      </c>
      <c r="O64" s="37" t="s">
        <v>35</v>
      </c>
      <c r="P64" s="37" t="s">
        <v>35</v>
      </c>
      <c r="Q64" s="37" t="s">
        <v>35</v>
      </c>
      <c r="R64" s="37" t="s">
        <v>35</v>
      </c>
      <c r="S64" s="37" t="s">
        <v>35</v>
      </c>
      <c r="T64" s="37" t="s">
        <v>35</v>
      </c>
      <c r="U64" s="37" t="s">
        <v>35</v>
      </c>
      <c r="V64" s="37" t="s">
        <v>35</v>
      </c>
      <c r="W64" s="37" t="s">
        <v>35</v>
      </c>
      <c r="X64" s="37" t="s">
        <v>35</v>
      </c>
      <c r="Y64" s="37" t="s">
        <v>35</v>
      </c>
      <c r="Z64" s="37" t="s">
        <v>35</v>
      </c>
      <c r="AA64" s="101">
        <v>2.33</v>
      </c>
      <c r="AB64" s="101">
        <v>2.14</v>
      </c>
      <c r="AC64" s="172">
        <v>2.33</v>
      </c>
      <c r="AD64" s="172">
        <v>1.78</v>
      </c>
      <c r="AE64" s="172">
        <v>1.63</v>
      </c>
      <c r="AF64" s="172">
        <v>1.77</v>
      </c>
      <c r="AG64" s="172">
        <v>1.93</v>
      </c>
      <c r="AH64" s="172">
        <v>1.68</v>
      </c>
      <c r="AI64" s="172">
        <v>1.58</v>
      </c>
      <c r="AJ64" s="101">
        <v>1.67</v>
      </c>
      <c r="AK64" s="102">
        <v>1.76</v>
      </c>
      <c r="AL64" s="101">
        <v>1.71</v>
      </c>
      <c r="AM64" s="172">
        <v>1.55</v>
      </c>
      <c r="AN64" s="101">
        <v>1.65</v>
      </c>
      <c r="AO64" s="101">
        <v>1.69</v>
      </c>
      <c r="AP64" s="101">
        <v>1.84</v>
      </c>
      <c r="AQ64" s="101">
        <v>2.08</v>
      </c>
      <c r="AR64" s="101">
        <v>2.34</v>
      </c>
      <c r="AS64" s="102">
        <v>2.08</v>
      </c>
      <c r="AT64" s="172">
        <v>2.06</v>
      </c>
      <c r="AU64" s="172">
        <v>2.2200000000000002</v>
      </c>
      <c r="AV64" s="101">
        <v>2.34</v>
      </c>
      <c r="AW64" s="101">
        <v>2.41</v>
      </c>
      <c r="AX64" s="101">
        <v>2.21</v>
      </c>
      <c r="AY64" s="101">
        <v>2.2799999999999998</v>
      </c>
      <c r="AZ64" s="101">
        <v>2.21</v>
      </c>
      <c r="BA64" s="101">
        <v>2.2200000000000002</v>
      </c>
      <c r="BB64" s="101">
        <v>1.82</v>
      </c>
      <c r="BC64" s="101">
        <v>1.69</v>
      </c>
      <c r="BD64" s="101">
        <v>1.59</v>
      </c>
      <c r="BE64" s="101">
        <v>1.35</v>
      </c>
      <c r="BF64" s="101">
        <v>1.72</v>
      </c>
      <c r="BG64" s="101">
        <v>1.74</v>
      </c>
      <c r="BH64" s="101">
        <v>1.62</v>
      </c>
      <c r="BI64" s="172">
        <v>1.91</v>
      </c>
      <c r="BJ64" s="101">
        <v>1.67</v>
      </c>
      <c r="BK64" s="101">
        <v>1.62</v>
      </c>
      <c r="BL64" s="101">
        <v>1.57</v>
      </c>
      <c r="BM64" s="101">
        <v>1.66</v>
      </c>
      <c r="BN64" s="101">
        <v>1.66</v>
      </c>
      <c r="BO64" s="101">
        <v>1.62</v>
      </c>
      <c r="BP64" s="102">
        <v>1.6</v>
      </c>
      <c r="BQ64" s="101">
        <v>1.65</v>
      </c>
      <c r="BR64" s="102">
        <v>1.55</v>
      </c>
      <c r="BS64" s="101">
        <v>1.48</v>
      </c>
      <c r="BT64" s="101">
        <v>1.43</v>
      </c>
      <c r="BU64" s="101">
        <v>1.34</v>
      </c>
      <c r="BV64" s="101">
        <v>1.34</v>
      </c>
      <c r="BW64" s="172">
        <v>1.26</v>
      </c>
      <c r="BX64" s="172">
        <v>1.23</v>
      </c>
      <c r="BY64" s="172">
        <v>1.32</v>
      </c>
      <c r="BZ64" s="101">
        <v>1.3</v>
      </c>
      <c r="CA64" s="101">
        <v>1.43</v>
      </c>
      <c r="CB64" s="101">
        <v>1.39</v>
      </c>
      <c r="CC64" s="101">
        <v>1.46</v>
      </c>
      <c r="CD64" s="101">
        <v>1.75</v>
      </c>
      <c r="CE64" s="101">
        <v>1.69</v>
      </c>
      <c r="CF64" s="404">
        <f>'Annual Data 2001-2020'!U64</f>
        <v>1.75</v>
      </c>
      <c r="CG64" s="467"/>
      <c r="CH64" s="457"/>
      <c r="CI64" s="457"/>
      <c r="CJ64" s="457"/>
      <c r="CK64" s="457"/>
      <c r="CL64" s="457"/>
      <c r="CM64" s="457"/>
      <c r="CN64" s="457"/>
      <c r="CO64" s="457"/>
      <c r="CP64" s="457"/>
    </row>
    <row r="65" spans="1:258" x14ac:dyDescent="0.2">
      <c r="A65" s="10"/>
      <c r="B65" s="11"/>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8"/>
      <c r="AD65" s="158"/>
      <c r="AE65" s="158"/>
      <c r="AF65" s="158"/>
      <c r="AG65" s="158"/>
      <c r="AH65" s="158"/>
      <c r="AI65" s="158"/>
      <c r="AJ65" s="157"/>
      <c r="AK65" s="159"/>
      <c r="AL65" s="157"/>
      <c r="AM65" s="158"/>
      <c r="AN65" s="157"/>
      <c r="AO65" s="157"/>
      <c r="AP65" s="157"/>
      <c r="AQ65" s="157"/>
      <c r="AR65" s="157"/>
      <c r="AS65" s="159"/>
      <c r="AT65" s="158"/>
      <c r="AU65" s="158"/>
      <c r="AV65" s="157"/>
      <c r="AW65" s="157"/>
      <c r="AX65" s="157"/>
      <c r="AY65" s="157"/>
      <c r="AZ65" s="157"/>
      <c r="BA65" s="157"/>
      <c r="BB65" s="157"/>
      <c r="BC65" s="157"/>
      <c r="BD65" s="157"/>
      <c r="BE65" s="157"/>
      <c r="BF65" s="157"/>
      <c r="BG65" s="157"/>
      <c r="BH65" s="157"/>
      <c r="BI65" s="158"/>
      <c r="BJ65" s="157"/>
      <c r="BK65" s="157"/>
      <c r="BL65" s="157"/>
      <c r="BM65" s="157"/>
      <c r="BN65" s="157"/>
      <c r="BO65" s="157"/>
      <c r="BP65" s="159"/>
      <c r="BQ65" s="157"/>
      <c r="BR65" s="159"/>
      <c r="BS65" s="157"/>
      <c r="BT65" s="157"/>
      <c r="BU65" s="157"/>
      <c r="BV65" s="157"/>
      <c r="BW65" s="158"/>
      <c r="BX65" s="158"/>
      <c r="BY65" s="158"/>
      <c r="BZ65" s="157"/>
      <c r="CA65" s="157"/>
      <c r="CB65" s="157"/>
      <c r="CC65" s="157"/>
      <c r="CD65" s="157"/>
      <c r="CE65" s="157"/>
      <c r="CF65" s="334"/>
      <c r="CH65" s="457"/>
      <c r="CI65" s="457"/>
      <c r="CJ65" s="457"/>
      <c r="CK65" s="457"/>
      <c r="CL65" s="457"/>
      <c r="CM65" s="457"/>
      <c r="CN65" s="457"/>
      <c r="CO65" s="457"/>
      <c r="CP65" s="457"/>
    </row>
    <row r="66" spans="1:258" x14ac:dyDescent="0.2">
      <c r="A66" s="237" t="s">
        <v>127</v>
      </c>
      <c r="B66" s="65"/>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9"/>
      <c r="AD66" s="29"/>
      <c r="AE66" s="29"/>
      <c r="AF66" s="29"/>
      <c r="AG66" s="29"/>
      <c r="AH66" s="29"/>
      <c r="AI66" s="29"/>
      <c r="AJ66" s="28"/>
      <c r="AK66" s="7"/>
      <c r="AL66" s="28"/>
      <c r="AM66" s="29"/>
      <c r="AN66" s="28"/>
      <c r="AO66" s="28"/>
      <c r="AP66" s="28"/>
      <c r="AQ66" s="28"/>
      <c r="AR66" s="28"/>
      <c r="AS66" s="7"/>
      <c r="AT66" s="29"/>
      <c r="AU66" s="29"/>
      <c r="AV66" s="28"/>
      <c r="AW66" s="28"/>
      <c r="AX66" s="28"/>
      <c r="AY66" s="28"/>
      <c r="AZ66" s="28"/>
      <c r="BA66" s="28"/>
      <c r="BB66" s="28"/>
      <c r="BC66" s="28"/>
      <c r="BD66" s="28"/>
      <c r="BE66" s="28"/>
      <c r="BF66" s="28"/>
      <c r="BG66" s="28"/>
      <c r="BH66" s="28"/>
      <c r="BI66" s="29"/>
      <c r="BJ66" s="28"/>
      <c r="BK66" s="28"/>
      <c r="BL66" s="28"/>
      <c r="BM66" s="28"/>
      <c r="BN66" s="28"/>
      <c r="BO66" s="28"/>
      <c r="BP66" s="7"/>
      <c r="BQ66" s="28"/>
      <c r="BR66" s="7"/>
      <c r="BS66" s="28"/>
      <c r="BT66" s="28"/>
      <c r="BU66" s="28"/>
      <c r="BV66" s="28"/>
      <c r="BW66" s="29"/>
      <c r="BX66" s="29"/>
      <c r="BY66" s="29"/>
      <c r="BZ66" s="28"/>
      <c r="CA66" s="28"/>
      <c r="CB66" s="28"/>
      <c r="CC66" s="291"/>
      <c r="CD66" s="291"/>
      <c r="CE66" s="291"/>
      <c r="CF66" s="268"/>
      <c r="CH66" s="457"/>
      <c r="CI66" s="457"/>
      <c r="CJ66" s="457"/>
      <c r="CK66" s="457"/>
      <c r="CL66" s="457"/>
      <c r="CM66" s="457"/>
      <c r="CN66" s="457"/>
      <c r="CO66" s="457"/>
      <c r="CP66" s="457"/>
    </row>
    <row r="67" spans="1:258" x14ac:dyDescent="0.2">
      <c r="A67" s="10" t="s">
        <v>135</v>
      </c>
      <c r="B67" s="11"/>
      <c r="C67" s="86" t="s">
        <v>35</v>
      </c>
      <c r="D67" s="86" t="s">
        <v>35</v>
      </c>
      <c r="E67" s="86" t="s">
        <v>35</v>
      </c>
      <c r="F67" s="86" t="s">
        <v>35</v>
      </c>
      <c r="G67" s="86" t="s">
        <v>35</v>
      </c>
      <c r="H67" s="86" t="s">
        <v>35</v>
      </c>
      <c r="I67" s="86" t="s">
        <v>35</v>
      </c>
      <c r="J67" s="86" t="s">
        <v>35</v>
      </c>
      <c r="K67" s="86" t="s">
        <v>35</v>
      </c>
      <c r="L67" s="86" t="s">
        <v>35</v>
      </c>
      <c r="M67" s="86" t="s">
        <v>35</v>
      </c>
      <c r="N67" s="86" t="s">
        <v>35</v>
      </c>
      <c r="O67" s="86" t="s">
        <v>35</v>
      </c>
      <c r="P67" s="86" t="s">
        <v>35</v>
      </c>
      <c r="Q67" s="86" t="s">
        <v>35</v>
      </c>
      <c r="R67" s="86" t="s">
        <v>35</v>
      </c>
      <c r="S67" s="86" t="s">
        <v>35</v>
      </c>
      <c r="T67" s="86" t="s">
        <v>35</v>
      </c>
      <c r="U67" s="86" t="s">
        <v>35</v>
      </c>
      <c r="V67" s="86" t="s">
        <v>35</v>
      </c>
      <c r="W67" s="86" t="s">
        <v>35</v>
      </c>
      <c r="X67" s="86" t="s">
        <v>35</v>
      </c>
      <c r="Y67" s="86" t="s">
        <v>35</v>
      </c>
      <c r="Z67" s="86" t="s">
        <v>35</v>
      </c>
      <c r="AA67" s="86" t="s">
        <v>35</v>
      </c>
      <c r="AB67" s="86" t="s">
        <v>35</v>
      </c>
      <c r="AC67" s="86" t="s">
        <v>35</v>
      </c>
      <c r="AD67" s="86" t="s">
        <v>35</v>
      </c>
      <c r="AE67" s="86" t="s">
        <v>35</v>
      </c>
      <c r="AF67" s="86" t="s">
        <v>35</v>
      </c>
      <c r="AG67" s="86" t="s">
        <v>35</v>
      </c>
      <c r="AH67" s="86" t="s">
        <v>35</v>
      </c>
      <c r="AI67" s="127">
        <f t="shared" ref="AI67:BY67" si="79">+AI68-AH68</f>
        <v>4.98988105805077</v>
      </c>
      <c r="AJ67" s="127">
        <f t="shared" si="79"/>
        <v>7.6668771164552822</v>
      </c>
      <c r="AK67" s="127">
        <f t="shared" si="79"/>
        <v>6.956570530804612</v>
      </c>
      <c r="AL67" s="127">
        <f t="shared" si="79"/>
        <v>7.8238805970149201</v>
      </c>
      <c r="AM67" s="127">
        <f t="shared" si="79"/>
        <v>13.200000000000017</v>
      </c>
      <c r="AN67" s="127">
        <f t="shared" si="79"/>
        <v>9.3999999999999773</v>
      </c>
      <c r="AO67" s="127">
        <f t="shared" si="79"/>
        <v>5.3000000000000114</v>
      </c>
      <c r="AP67" s="127">
        <f t="shared" si="79"/>
        <v>6.3000000000000114</v>
      </c>
      <c r="AQ67" s="127">
        <f t="shared" si="79"/>
        <v>9.6999999999999886</v>
      </c>
      <c r="AR67" s="127">
        <f t="shared" si="79"/>
        <v>6.1999999999999886</v>
      </c>
      <c r="AS67" s="127">
        <f t="shared" si="79"/>
        <v>5.9000000000000341</v>
      </c>
      <c r="AT67" s="127">
        <f t="shared" si="79"/>
        <v>4.3999999999999773</v>
      </c>
      <c r="AU67" s="127">
        <f t="shared" si="79"/>
        <v>7.1000000000000227</v>
      </c>
      <c r="AV67" s="127">
        <f t="shared" si="79"/>
        <v>4.6399999999999864</v>
      </c>
      <c r="AW67" s="127">
        <f t="shared" si="79"/>
        <v>4.1929999999999836</v>
      </c>
      <c r="AX67" s="127">
        <f t="shared" si="79"/>
        <v>4.3530000000000086</v>
      </c>
      <c r="AY67" s="127">
        <f t="shared" si="79"/>
        <v>8.9139999999999873</v>
      </c>
      <c r="AZ67" s="127">
        <f t="shared" si="79"/>
        <v>6.1000000000000227</v>
      </c>
      <c r="BA67" s="127">
        <f t="shared" si="79"/>
        <v>8.5999999999999659</v>
      </c>
      <c r="BB67" s="127">
        <f t="shared" si="79"/>
        <v>9.6000000000000227</v>
      </c>
      <c r="BC67" s="127">
        <f t="shared" si="79"/>
        <v>14.5</v>
      </c>
      <c r="BD67" s="127">
        <f t="shared" si="79"/>
        <v>11.5</v>
      </c>
      <c r="BE67" s="127">
        <f t="shared" si="79"/>
        <v>12.800000000000011</v>
      </c>
      <c r="BF67" s="127">
        <f t="shared" si="79"/>
        <v>15.899999999999977</v>
      </c>
      <c r="BG67" s="127">
        <f t="shared" si="79"/>
        <v>31.800000000000011</v>
      </c>
      <c r="BH67" s="127">
        <f t="shared" si="79"/>
        <v>20.5</v>
      </c>
      <c r="BI67" s="127">
        <f t="shared" si="79"/>
        <v>20.399999999999977</v>
      </c>
      <c r="BJ67" s="127">
        <f t="shared" si="79"/>
        <v>23.700000000000045</v>
      </c>
      <c r="BK67" s="127">
        <f t="shared" si="79"/>
        <v>26.199999999999989</v>
      </c>
      <c r="BL67" s="127">
        <f t="shared" si="79"/>
        <v>23.099999999999966</v>
      </c>
      <c r="BM67" s="127">
        <f t="shared" si="79"/>
        <v>24.399999999999977</v>
      </c>
      <c r="BN67" s="127">
        <f t="shared" si="79"/>
        <v>29.300000000000068</v>
      </c>
      <c r="BO67" s="127">
        <f t="shared" si="79"/>
        <v>38.399999999999977</v>
      </c>
      <c r="BP67" s="127">
        <f t="shared" si="79"/>
        <v>27.899999999999977</v>
      </c>
      <c r="BQ67" s="127">
        <f t="shared" si="79"/>
        <v>31.200000000000045</v>
      </c>
      <c r="BR67" s="127">
        <f t="shared" si="79"/>
        <v>42.54200000000003</v>
      </c>
      <c r="BS67" s="127">
        <f t="shared" si="79"/>
        <v>42.411999999999921</v>
      </c>
      <c r="BT67" s="127">
        <f t="shared" si="79"/>
        <v>23.302000000000021</v>
      </c>
      <c r="BU67" s="127">
        <f t="shared" si="79"/>
        <v>32.150999999999954</v>
      </c>
      <c r="BV67" s="127">
        <f t="shared" si="79"/>
        <v>28.631000000000085</v>
      </c>
      <c r="BW67" s="127">
        <f t="shared" si="79"/>
        <v>33.63900000000001</v>
      </c>
      <c r="BX67" s="127">
        <f t="shared" si="79"/>
        <v>31.545999999999935</v>
      </c>
      <c r="BY67" s="127">
        <f t="shared" si="79"/>
        <v>36.759999999999991</v>
      </c>
      <c r="BZ67" s="97">
        <f t="shared" ref="BZ67:CF67" si="80">+BZ68-BY68</f>
        <v>37.339000000000055</v>
      </c>
      <c r="CA67" s="97">
        <f t="shared" si="80"/>
        <v>86.094000000000051</v>
      </c>
      <c r="CB67" s="97">
        <f t="shared" si="80"/>
        <v>53.024999999999864</v>
      </c>
      <c r="CC67" s="301">
        <f t="shared" si="80"/>
        <v>79.182000000000016</v>
      </c>
      <c r="CD67" s="301">
        <f t="shared" si="80"/>
        <v>85.606999999999971</v>
      </c>
      <c r="CE67" s="301">
        <f t="shared" si="80"/>
        <v>152.83000000000015</v>
      </c>
      <c r="CF67" s="275">
        <f t="shared" si="80"/>
        <v>85.088999999999942</v>
      </c>
      <c r="CH67" s="457"/>
      <c r="CI67" s="457"/>
      <c r="CJ67" s="457"/>
      <c r="CK67" s="457"/>
      <c r="CL67" s="457"/>
      <c r="CM67" s="457"/>
      <c r="CN67" s="457"/>
      <c r="CO67" s="457"/>
      <c r="CP67" s="457"/>
    </row>
    <row r="68" spans="1:258" x14ac:dyDescent="0.2">
      <c r="A68" s="43" t="s">
        <v>33</v>
      </c>
      <c r="B68" s="44"/>
      <c r="C68" s="89" t="s">
        <v>35</v>
      </c>
      <c r="D68" s="89" t="s">
        <v>35</v>
      </c>
      <c r="E68" s="89" t="s">
        <v>35</v>
      </c>
      <c r="F68" s="89" t="s">
        <v>35</v>
      </c>
      <c r="G68" s="89" t="s">
        <v>35</v>
      </c>
      <c r="H68" s="89" t="s">
        <v>35</v>
      </c>
      <c r="I68" s="89" t="s">
        <v>35</v>
      </c>
      <c r="J68" s="89" t="s">
        <v>35</v>
      </c>
      <c r="K68" s="89" t="s">
        <v>35</v>
      </c>
      <c r="L68" s="89" t="s">
        <v>35</v>
      </c>
      <c r="M68" s="89" t="s">
        <v>35</v>
      </c>
      <c r="N68" s="89" t="s">
        <v>35</v>
      </c>
      <c r="O68" s="89" t="s">
        <v>35</v>
      </c>
      <c r="P68" s="89" t="s">
        <v>35</v>
      </c>
      <c r="Q68" s="89" t="s">
        <v>35</v>
      </c>
      <c r="R68" s="89" t="s">
        <v>35</v>
      </c>
      <c r="S68" s="89" t="s">
        <v>35</v>
      </c>
      <c r="T68" s="89" t="s">
        <v>35</v>
      </c>
      <c r="U68" s="89" t="s">
        <v>35</v>
      </c>
      <c r="V68" s="89" t="s">
        <v>35</v>
      </c>
      <c r="W68" s="89" t="s">
        <v>35</v>
      </c>
      <c r="X68" s="89" t="s">
        <v>35</v>
      </c>
      <c r="Y68" s="89" t="s">
        <v>35</v>
      </c>
      <c r="Z68" s="89" t="s">
        <v>35</v>
      </c>
      <c r="AA68" s="89">
        <v>121.36</v>
      </c>
      <c r="AB68" s="89">
        <v>127.7</v>
      </c>
      <c r="AC68" s="90">
        <v>133</v>
      </c>
      <c r="AD68" s="90" t="s">
        <v>50</v>
      </c>
      <c r="AE68" s="90" t="s">
        <v>50</v>
      </c>
      <c r="AF68" s="90" t="s">
        <v>50</v>
      </c>
      <c r="AG68" s="90" t="s">
        <v>50</v>
      </c>
      <c r="AH68" s="90">
        <v>175.16279069767441</v>
      </c>
      <c r="AI68" s="90">
        <v>180.15267175572518</v>
      </c>
      <c r="AJ68" s="89">
        <v>187.81954887218046</v>
      </c>
      <c r="AK68" s="90">
        <v>194.77611940298507</v>
      </c>
      <c r="AL68" s="89">
        <v>202.6</v>
      </c>
      <c r="AM68" s="90">
        <v>215.8</v>
      </c>
      <c r="AN68" s="89">
        <v>225.2</v>
      </c>
      <c r="AO68" s="89">
        <v>230.5</v>
      </c>
      <c r="AP68" s="89">
        <v>236.8</v>
      </c>
      <c r="AQ68" s="89">
        <v>246.5</v>
      </c>
      <c r="AR68" s="89">
        <v>252.7</v>
      </c>
      <c r="AS68" s="91">
        <v>258.60000000000002</v>
      </c>
      <c r="AT68" s="90">
        <v>263</v>
      </c>
      <c r="AU68" s="90">
        <v>270.10000000000002</v>
      </c>
      <c r="AV68" s="89">
        <v>274.74</v>
      </c>
      <c r="AW68" s="89">
        <v>278.93299999999999</v>
      </c>
      <c r="AX68" s="89">
        <v>283.286</v>
      </c>
      <c r="AY68" s="89">
        <v>292.2</v>
      </c>
      <c r="AZ68" s="89">
        <v>298.3</v>
      </c>
      <c r="BA68" s="89">
        <v>306.89999999999998</v>
      </c>
      <c r="BB68" s="89">
        <v>316.5</v>
      </c>
      <c r="BC68" s="89">
        <v>331</v>
      </c>
      <c r="BD68" s="89">
        <v>342.5</v>
      </c>
      <c r="BE68" s="89">
        <v>355.3</v>
      </c>
      <c r="BF68" s="89">
        <v>371.2</v>
      </c>
      <c r="BG68" s="89">
        <v>403</v>
      </c>
      <c r="BH68" s="89">
        <v>423.5</v>
      </c>
      <c r="BI68" s="90">
        <v>443.9</v>
      </c>
      <c r="BJ68" s="89">
        <v>467.6</v>
      </c>
      <c r="BK68" s="89">
        <v>493.8</v>
      </c>
      <c r="BL68" s="89">
        <v>516.9</v>
      </c>
      <c r="BM68" s="89">
        <v>541.29999999999995</v>
      </c>
      <c r="BN68" s="89">
        <v>570.6</v>
      </c>
      <c r="BO68" s="89">
        <v>609</v>
      </c>
      <c r="BP68" s="91">
        <v>636.9</v>
      </c>
      <c r="BQ68" s="89">
        <v>668.1</v>
      </c>
      <c r="BR68" s="91">
        <v>710.64200000000005</v>
      </c>
      <c r="BS68" s="89">
        <v>753.05399999999997</v>
      </c>
      <c r="BT68" s="89">
        <v>776.35599999999999</v>
      </c>
      <c r="BU68" s="89">
        <v>808.50699999999995</v>
      </c>
      <c r="BV68" s="89">
        <v>837.13800000000003</v>
      </c>
      <c r="BW68" s="90">
        <v>870.77700000000004</v>
      </c>
      <c r="BX68" s="90">
        <v>902.32299999999998</v>
      </c>
      <c r="BY68" s="90">
        <v>939.08299999999997</v>
      </c>
      <c r="BZ68" s="89">
        <v>976.42200000000003</v>
      </c>
      <c r="CA68" s="89">
        <v>1062.5160000000001</v>
      </c>
      <c r="CB68" s="89">
        <v>1115.5409999999999</v>
      </c>
      <c r="CC68" s="302">
        <v>1194.723</v>
      </c>
      <c r="CD68" s="302">
        <v>1280.33</v>
      </c>
      <c r="CE68" s="302">
        <v>1433.16</v>
      </c>
      <c r="CF68" s="325">
        <v>1518.249</v>
      </c>
      <c r="CH68" s="457"/>
      <c r="CI68" s="457"/>
      <c r="CJ68" s="457"/>
      <c r="CK68" s="457"/>
      <c r="CL68" s="457"/>
      <c r="CM68" s="457"/>
      <c r="CN68" s="457"/>
      <c r="CO68" s="457"/>
      <c r="CP68" s="457"/>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c r="EO68" s="244"/>
      <c r="EP68" s="244"/>
      <c r="EQ68" s="244"/>
      <c r="ER68" s="244"/>
      <c r="ES68" s="244"/>
      <c r="ET68" s="244"/>
      <c r="EU68" s="244"/>
      <c r="EV68" s="244"/>
      <c r="EW68" s="244"/>
      <c r="EX68" s="244"/>
      <c r="EY68" s="244"/>
      <c r="EZ68" s="244"/>
      <c r="FA68" s="244"/>
      <c r="FB68" s="244"/>
      <c r="FC68" s="244"/>
      <c r="FD68" s="244"/>
      <c r="FE68" s="244"/>
      <c r="FF68" s="244"/>
      <c r="FG68" s="244"/>
      <c r="FH68" s="244"/>
      <c r="FI68" s="244"/>
      <c r="FJ68" s="244"/>
      <c r="FK68" s="244"/>
      <c r="FL68" s="244"/>
      <c r="FM68" s="244"/>
      <c r="FN68" s="244"/>
      <c r="FO68" s="244"/>
      <c r="FP68" s="244"/>
      <c r="FQ68" s="244"/>
      <c r="FR68" s="244"/>
      <c r="FS68" s="244"/>
      <c r="FT68" s="244"/>
      <c r="FU68" s="244"/>
      <c r="FV68" s="244"/>
      <c r="FW68" s="244"/>
      <c r="FX68" s="244"/>
      <c r="FY68" s="244"/>
      <c r="FZ68" s="244"/>
      <c r="GA68" s="244"/>
      <c r="GB68" s="244"/>
      <c r="GC68" s="244"/>
      <c r="GD68" s="244"/>
      <c r="GE68" s="244"/>
      <c r="GF68" s="244"/>
      <c r="GG68" s="244"/>
      <c r="GH68" s="244"/>
      <c r="GI68" s="244"/>
      <c r="GJ68" s="244"/>
      <c r="GK68" s="244"/>
      <c r="GL68" s="244"/>
      <c r="GM68" s="244"/>
      <c r="GN68" s="244"/>
      <c r="GO68" s="244"/>
      <c r="GP68" s="244"/>
      <c r="GQ68" s="244"/>
      <c r="GR68" s="244"/>
      <c r="GS68" s="244"/>
      <c r="GT68" s="244"/>
      <c r="GU68" s="244"/>
      <c r="GV68" s="244"/>
      <c r="GW68" s="244"/>
      <c r="GX68" s="244"/>
      <c r="GY68" s="244"/>
      <c r="GZ68" s="244"/>
      <c r="HA68" s="244"/>
      <c r="HB68" s="244"/>
      <c r="HC68" s="244"/>
      <c r="HD68" s="244"/>
      <c r="HE68" s="244"/>
      <c r="HF68" s="244"/>
      <c r="HG68" s="244"/>
      <c r="HH68" s="244"/>
      <c r="HI68" s="244"/>
      <c r="HJ68" s="244"/>
      <c r="HK68" s="244"/>
      <c r="HL68" s="244"/>
      <c r="HM68" s="244"/>
      <c r="HN68" s="244"/>
      <c r="HO68" s="244"/>
      <c r="HP68" s="244"/>
      <c r="HQ68" s="244"/>
      <c r="HR68" s="244"/>
      <c r="HS68" s="244"/>
      <c r="HT68" s="244"/>
      <c r="HU68" s="244"/>
      <c r="HV68" s="244"/>
      <c r="HW68" s="244"/>
      <c r="HX68" s="244"/>
      <c r="HY68" s="244"/>
      <c r="HZ68" s="244"/>
      <c r="IA68" s="244"/>
      <c r="IB68" s="244"/>
      <c r="IC68" s="244"/>
      <c r="ID68" s="244"/>
      <c r="IE68" s="244"/>
      <c r="IF68" s="244"/>
      <c r="IG68" s="244"/>
      <c r="IH68" s="244"/>
      <c r="II68" s="244"/>
      <c r="IJ68" s="244"/>
      <c r="IK68" s="244"/>
      <c r="IL68" s="244"/>
      <c r="IM68" s="244"/>
      <c r="IN68" s="244"/>
      <c r="IO68" s="244"/>
      <c r="IP68" s="244"/>
      <c r="IQ68" s="244"/>
      <c r="IR68" s="244"/>
      <c r="IS68" s="244"/>
      <c r="IT68" s="244"/>
      <c r="IU68" s="244"/>
      <c r="IV68" s="244"/>
      <c r="IW68" s="244"/>
      <c r="IX68" s="244"/>
    </row>
    <row r="69" spans="1:258" x14ac:dyDescent="0.2">
      <c r="A69" s="43" t="s">
        <v>243</v>
      </c>
      <c r="B69" s="44"/>
      <c r="C69" s="89" t="s">
        <v>35</v>
      </c>
      <c r="D69" s="89" t="s">
        <v>35</v>
      </c>
      <c r="E69" s="89" t="s">
        <v>35</v>
      </c>
      <c r="F69" s="89" t="s">
        <v>35</v>
      </c>
      <c r="G69" s="89" t="s">
        <v>35</v>
      </c>
      <c r="H69" s="89" t="s">
        <v>35</v>
      </c>
      <c r="I69" s="89" t="s">
        <v>35</v>
      </c>
      <c r="J69" s="89" t="s">
        <v>35</v>
      </c>
      <c r="K69" s="89" t="s">
        <v>35</v>
      </c>
      <c r="L69" s="89" t="s">
        <v>35</v>
      </c>
      <c r="M69" s="89" t="s">
        <v>35</v>
      </c>
      <c r="N69" s="89" t="s">
        <v>35</v>
      </c>
      <c r="O69" s="89" t="s">
        <v>35</v>
      </c>
      <c r="P69" s="89" t="s">
        <v>35</v>
      </c>
      <c r="Q69" s="89" t="s">
        <v>35</v>
      </c>
      <c r="R69" s="89" t="s">
        <v>35</v>
      </c>
      <c r="S69" s="89" t="s">
        <v>35</v>
      </c>
      <c r="T69" s="89" t="s">
        <v>35</v>
      </c>
      <c r="U69" s="89" t="s">
        <v>35</v>
      </c>
      <c r="V69" s="89" t="s">
        <v>35</v>
      </c>
      <c r="W69" s="89" t="s">
        <v>35</v>
      </c>
      <c r="X69" s="89" t="s">
        <v>35</v>
      </c>
      <c r="Y69" s="89" t="s">
        <v>35</v>
      </c>
      <c r="Z69" s="89" t="s">
        <v>35</v>
      </c>
      <c r="AA69" s="89" t="s">
        <v>35</v>
      </c>
      <c r="AB69" s="89" t="s">
        <v>35</v>
      </c>
      <c r="AC69" s="89" t="s">
        <v>35</v>
      </c>
      <c r="AD69" s="89" t="s">
        <v>35</v>
      </c>
      <c r="AE69" s="89" t="s">
        <v>35</v>
      </c>
      <c r="AF69" s="89" t="s">
        <v>35</v>
      </c>
      <c r="AG69" s="89" t="s">
        <v>35</v>
      </c>
      <c r="AH69" s="89" t="s">
        <v>35</v>
      </c>
      <c r="AI69" s="89" t="s">
        <v>35</v>
      </c>
      <c r="AJ69" s="89" t="s">
        <v>35</v>
      </c>
      <c r="AK69" s="89" t="s">
        <v>35</v>
      </c>
      <c r="AL69" s="89" t="s">
        <v>35</v>
      </c>
      <c r="AM69" s="89" t="s">
        <v>35</v>
      </c>
      <c r="AN69" s="89" t="s">
        <v>35</v>
      </c>
      <c r="AO69" s="89" t="s">
        <v>35</v>
      </c>
      <c r="AP69" s="89" t="s">
        <v>35</v>
      </c>
      <c r="AQ69" s="89" t="s">
        <v>35</v>
      </c>
      <c r="AR69" s="89" t="s">
        <v>35</v>
      </c>
      <c r="AS69" s="89" t="s">
        <v>35</v>
      </c>
      <c r="AT69" s="89" t="s">
        <v>35</v>
      </c>
      <c r="AU69" s="89" t="s">
        <v>35</v>
      </c>
      <c r="AV69" s="89" t="s">
        <v>35</v>
      </c>
      <c r="AW69" s="89" t="s">
        <v>35</v>
      </c>
      <c r="AX69" s="89" t="s">
        <v>35</v>
      </c>
      <c r="AY69" s="89" t="s">
        <v>35</v>
      </c>
      <c r="AZ69" s="89" t="s">
        <v>35</v>
      </c>
      <c r="BA69" s="89" t="s">
        <v>35</v>
      </c>
      <c r="BB69" s="89" t="s">
        <v>35</v>
      </c>
      <c r="BC69" s="89" t="s">
        <v>35</v>
      </c>
      <c r="BD69" s="89" t="s">
        <v>35</v>
      </c>
      <c r="BE69" s="89" t="s">
        <v>35</v>
      </c>
      <c r="BF69" s="89" t="s">
        <v>35</v>
      </c>
      <c r="BG69" s="89" t="s">
        <v>35</v>
      </c>
      <c r="BH69" s="89" t="s">
        <v>35</v>
      </c>
      <c r="BI69" s="89" t="s">
        <v>35</v>
      </c>
      <c r="BJ69" s="89" t="s">
        <v>35</v>
      </c>
      <c r="BK69" s="89" t="s">
        <v>35</v>
      </c>
      <c r="BL69" s="89" t="s">
        <v>35</v>
      </c>
      <c r="BM69" s="89" t="s">
        <v>35</v>
      </c>
      <c r="BN69" s="89" t="s">
        <v>35</v>
      </c>
      <c r="BO69" s="89" t="s">
        <v>35</v>
      </c>
      <c r="BP69" s="89" t="s">
        <v>35</v>
      </c>
      <c r="BQ69" s="89" t="s">
        <v>35</v>
      </c>
      <c r="BR69" s="89" t="s">
        <v>35</v>
      </c>
      <c r="BS69" s="89" t="s">
        <v>35</v>
      </c>
      <c r="BT69" s="89" t="s">
        <v>35</v>
      </c>
      <c r="BU69" s="89" t="s">
        <v>35</v>
      </c>
      <c r="BV69" s="89" t="s">
        <v>35</v>
      </c>
      <c r="BW69" s="89" t="s">
        <v>35</v>
      </c>
      <c r="BX69" s="89" t="s">
        <v>35</v>
      </c>
      <c r="BY69" s="89" t="s">
        <v>35</v>
      </c>
      <c r="BZ69" s="89" t="s">
        <v>35</v>
      </c>
      <c r="CA69" s="89" t="s">
        <v>35</v>
      </c>
      <c r="CB69" s="89" t="s">
        <v>35</v>
      </c>
      <c r="CC69" s="89" t="s">
        <v>35</v>
      </c>
      <c r="CD69" s="89" t="s">
        <v>35</v>
      </c>
      <c r="CE69" s="89">
        <v>498.8</v>
      </c>
      <c r="CF69" s="325">
        <v>505.2</v>
      </c>
      <c r="CG69" s="457"/>
      <c r="CH69" s="457"/>
      <c r="CI69" s="457"/>
      <c r="CJ69" s="457"/>
      <c r="CK69" s="457"/>
      <c r="CL69" s="457"/>
      <c r="CM69" s="457"/>
      <c r="CN69" s="457"/>
      <c r="CO69" s="457"/>
      <c r="CP69" s="457"/>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c r="EO69" s="244"/>
      <c r="EP69" s="244"/>
      <c r="EQ69" s="244"/>
      <c r="ER69" s="244"/>
      <c r="ES69" s="244"/>
      <c r="ET69" s="244"/>
      <c r="EU69" s="244"/>
      <c r="EV69" s="244"/>
      <c r="EW69" s="244"/>
      <c r="EX69" s="244"/>
      <c r="EY69" s="244"/>
      <c r="EZ69" s="244"/>
      <c r="FA69" s="244"/>
      <c r="FB69" s="244"/>
      <c r="FC69" s="244"/>
      <c r="FD69" s="244"/>
      <c r="FE69" s="244"/>
      <c r="FF69" s="244"/>
      <c r="FG69" s="244"/>
      <c r="FH69" s="244"/>
      <c r="FI69" s="244"/>
      <c r="FJ69" s="244"/>
      <c r="FK69" s="244"/>
      <c r="FL69" s="244"/>
      <c r="FM69" s="244"/>
      <c r="FN69" s="244"/>
      <c r="FO69" s="244"/>
      <c r="FP69" s="244"/>
      <c r="FQ69" s="244"/>
      <c r="FR69" s="244"/>
      <c r="FS69" s="244"/>
      <c r="FT69" s="244"/>
      <c r="FU69" s="244"/>
      <c r="FV69" s="244"/>
      <c r="FW69" s="244"/>
      <c r="FX69" s="244"/>
      <c r="FY69" s="244"/>
      <c r="FZ69" s="244"/>
      <c r="GA69" s="244"/>
      <c r="GB69" s="244"/>
      <c r="GC69" s="244"/>
      <c r="GD69" s="244"/>
      <c r="GE69" s="244"/>
      <c r="GF69" s="244"/>
      <c r="GG69" s="244"/>
      <c r="GH69" s="244"/>
      <c r="GI69" s="244"/>
      <c r="GJ69" s="244"/>
      <c r="GK69" s="244"/>
      <c r="GL69" s="244"/>
      <c r="GM69" s="244"/>
      <c r="GN69" s="244"/>
      <c r="GO69" s="244"/>
      <c r="GP69" s="244"/>
      <c r="GQ69" s="244"/>
      <c r="GR69" s="244"/>
      <c r="GS69" s="244"/>
      <c r="GT69" s="244"/>
      <c r="GU69" s="244"/>
      <c r="GV69" s="244"/>
      <c r="GW69" s="244"/>
      <c r="GX69" s="244"/>
      <c r="GY69" s="244"/>
      <c r="GZ69" s="244"/>
      <c r="HA69" s="244"/>
      <c r="HB69" s="244"/>
      <c r="HC69" s="244"/>
      <c r="HD69" s="244"/>
      <c r="HE69" s="244"/>
      <c r="HF69" s="244"/>
      <c r="HG69" s="244"/>
      <c r="HH69" s="244"/>
      <c r="HI69" s="244"/>
      <c r="HJ69" s="244"/>
      <c r="HK69" s="244"/>
      <c r="HL69" s="244"/>
      <c r="HM69" s="244"/>
      <c r="HN69" s="244"/>
      <c r="HO69" s="244"/>
      <c r="HP69" s="244"/>
      <c r="HQ69" s="244"/>
      <c r="HR69" s="244"/>
      <c r="HS69" s="244"/>
      <c r="HT69" s="244"/>
      <c r="HU69" s="244"/>
      <c r="HV69" s="244"/>
      <c r="HW69" s="244"/>
      <c r="HX69" s="244"/>
      <c r="HY69" s="244"/>
      <c r="HZ69" s="244"/>
      <c r="IA69" s="244"/>
      <c r="IB69" s="244"/>
      <c r="IC69" s="244"/>
      <c r="ID69" s="244"/>
      <c r="IE69" s="244"/>
      <c r="IF69" s="244"/>
      <c r="IG69" s="244"/>
      <c r="IH69" s="244"/>
      <c r="II69" s="244"/>
      <c r="IJ69" s="244"/>
      <c r="IK69" s="244"/>
      <c r="IL69" s="244"/>
      <c r="IM69" s="244"/>
      <c r="IN69" s="244"/>
      <c r="IO69" s="244"/>
      <c r="IP69" s="244"/>
      <c r="IQ69" s="244"/>
      <c r="IR69" s="244"/>
      <c r="IS69" s="244"/>
      <c r="IT69" s="244"/>
      <c r="IU69" s="244"/>
      <c r="IV69" s="244"/>
      <c r="IW69" s="244"/>
      <c r="IX69" s="244"/>
    </row>
    <row r="70" spans="1:258" x14ac:dyDescent="0.2">
      <c r="A70" s="10"/>
      <c r="B70" s="11"/>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9"/>
      <c r="AD70" s="29"/>
      <c r="AE70" s="29"/>
      <c r="AF70" s="29"/>
      <c r="AG70" s="29"/>
      <c r="AH70" s="29"/>
      <c r="AI70" s="29"/>
      <c r="AJ70" s="28"/>
      <c r="AK70" s="7"/>
      <c r="AL70" s="28"/>
      <c r="AM70" s="29"/>
      <c r="AN70" s="28"/>
      <c r="AO70" s="28"/>
      <c r="AP70" s="29"/>
      <c r="AQ70" s="28"/>
      <c r="AR70" s="28"/>
      <c r="AS70" s="7"/>
      <c r="AT70" s="29"/>
      <c r="AU70" s="29"/>
      <c r="AV70" s="29"/>
      <c r="AW70" s="29"/>
      <c r="AX70" s="29"/>
      <c r="AY70" s="28"/>
      <c r="AZ70" s="28"/>
      <c r="BA70" s="28"/>
      <c r="BB70" s="28"/>
      <c r="BC70" s="28"/>
      <c r="BD70" s="28"/>
      <c r="BE70" s="28"/>
      <c r="BF70" s="28"/>
      <c r="BG70" s="28"/>
      <c r="BH70" s="28"/>
      <c r="BI70" s="29"/>
      <c r="BJ70" s="28"/>
      <c r="BK70" s="97"/>
      <c r="BL70" s="97"/>
      <c r="BM70" s="97"/>
      <c r="BN70" s="97"/>
      <c r="BO70" s="97"/>
      <c r="BP70" s="98"/>
      <c r="BQ70" s="97"/>
      <c r="BR70" s="28"/>
      <c r="BS70" s="28"/>
      <c r="BT70" s="28"/>
      <c r="BU70" s="28"/>
      <c r="BV70" s="28"/>
      <c r="BW70" s="29"/>
      <c r="BX70" s="29"/>
      <c r="BY70" s="29"/>
      <c r="BZ70" s="28"/>
      <c r="CA70" s="28"/>
      <c r="CB70" s="28"/>
      <c r="CC70" s="291"/>
      <c r="CD70" s="291"/>
      <c r="CE70" s="291"/>
      <c r="CF70" s="508"/>
      <c r="CG70" s="457"/>
      <c r="CH70" s="457"/>
      <c r="CI70" s="457"/>
      <c r="CJ70" s="457"/>
      <c r="CK70" s="457"/>
      <c r="CL70" s="457"/>
      <c r="CM70" s="457"/>
      <c r="CN70" s="457"/>
      <c r="CO70" s="457"/>
      <c r="CP70" s="457"/>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244"/>
      <c r="FH70" s="244"/>
      <c r="FI70" s="244"/>
      <c r="FJ70" s="244"/>
      <c r="FK70" s="244"/>
      <c r="FL70" s="244"/>
      <c r="FM70" s="244"/>
      <c r="FN70" s="244"/>
      <c r="FO70" s="244"/>
      <c r="FP70" s="244"/>
      <c r="FQ70" s="244"/>
      <c r="FR70" s="244"/>
      <c r="FS70" s="244"/>
      <c r="FT70" s="244"/>
      <c r="FU70" s="244"/>
      <c r="FV70" s="244"/>
      <c r="FW70" s="244"/>
      <c r="FX70" s="244"/>
      <c r="FY70" s="244"/>
      <c r="FZ70" s="244"/>
      <c r="GA70" s="244"/>
      <c r="GB70" s="244"/>
      <c r="GC70" s="244"/>
      <c r="GD70" s="244"/>
      <c r="GE70" s="244"/>
      <c r="GF70" s="244"/>
      <c r="GG70" s="244"/>
      <c r="GH70" s="244"/>
      <c r="GI70" s="244"/>
      <c r="GJ70" s="244"/>
      <c r="GK70" s="244"/>
      <c r="GL70" s="244"/>
      <c r="GM70" s="244"/>
      <c r="GN70" s="244"/>
      <c r="GO70" s="244"/>
      <c r="GP70" s="244"/>
      <c r="GQ70" s="244"/>
      <c r="GR70" s="244"/>
      <c r="GS70" s="244"/>
      <c r="GT70" s="244"/>
      <c r="GU70" s="244"/>
      <c r="GV70" s="244"/>
      <c r="GW70" s="244"/>
      <c r="GX70" s="244"/>
      <c r="GY70" s="244"/>
      <c r="GZ70" s="244"/>
      <c r="HA70" s="244"/>
      <c r="HB70" s="244"/>
      <c r="HC70" s="244"/>
      <c r="HD70" s="244"/>
      <c r="HE70" s="244"/>
      <c r="HF70" s="244"/>
      <c r="HG70" s="244"/>
      <c r="HH70" s="244"/>
      <c r="HI70" s="244"/>
      <c r="HJ70" s="244"/>
      <c r="HK70" s="244"/>
      <c r="HL70" s="244"/>
      <c r="HM70" s="244"/>
      <c r="HN70" s="244"/>
      <c r="HO70" s="244"/>
      <c r="HP70" s="244"/>
      <c r="HQ70" s="244"/>
      <c r="HR70" s="244"/>
      <c r="HS70" s="244"/>
      <c r="HT70" s="244"/>
      <c r="HU70" s="244"/>
      <c r="HV70" s="244"/>
      <c r="HW70" s="244"/>
      <c r="HX70" s="244"/>
      <c r="HY70" s="244"/>
      <c r="HZ70" s="244"/>
      <c r="IA70" s="244"/>
      <c r="IB70" s="244"/>
      <c r="IC70" s="244"/>
      <c r="ID70" s="244"/>
      <c r="IE70" s="244"/>
      <c r="IF70" s="244"/>
      <c r="IG70" s="244"/>
      <c r="IH70" s="244"/>
      <c r="II70" s="244"/>
      <c r="IJ70" s="244"/>
      <c r="IK70" s="244"/>
      <c r="IL70" s="244"/>
      <c r="IM70" s="244"/>
      <c r="IN70" s="244"/>
      <c r="IO70" s="244"/>
      <c r="IP70" s="244"/>
      <c r="IQ70" s="244"/>
      <c r="IR70" s="244"/>
      <c r="IS70" s="244"/>
      <c r="IT70" s="244"/>
      <c r="IU70" s="244"/>
      <c r="IV70" s="244"/>
      <c r="IW70" s="244"/>
      <c r="IX70" s="244"/>
    </row>
    <row r="71" spans="1:258" x14ac:dyDescent="0.2">
      <c r="A71" s="35" t="s">
        <v>85</v>
      </c>
      <c r="B71" s="36"/>
      <c r="C71" s="37" t="s">
        <v>50</v>
      </c>
      <c r="D71" s="37" t="s">
        <v>50</v>
      </c>
      <c r="E71" s="37" t="s">
        <v>50</v>
      </c>
      <c r="F71" s="37" t="s">
        <v>50</v>
      </c>
      <c r="G71" s="37" t="s">
        <v>50</v>
      </c>
      <c r="H71" s="37" t="s">
        <v>50</v>
      </c>
      <c r="I71" s="37" t="s">
        <v>50</v>
      </c>
      <c r="J71" s="37" t="s">
        <v>50</v>
      </c>
      <c r="K71" s="37" t="s">
        <v>50</v>
      </c>
      <c r="L71" s="37" t="s">
        <v>50</v>
      </c>
      <c r="M71" s="37" t="s">
        <v>50</v>
      </c>
      <c r="N71" s="37" t="s">
        <v>50</v>
      </c>
      <c r="O71" s="37" t="s">
        <v>50</v>
      </c>
      <c r="P71" s="37" t="s">
        <v>50</v>
      </c>
      <c r="Q71" s="37" t="s">
        <v>50</v>
      </c>
      <c r="R71" s="37" t="s">
        <v>50</v>
      </c>
      <c r="S71" s="37" t="s">
        <v>50</v>
      </c>
      <c r="T71" s="37" t="s">
        <v>50</v>
      </c>
      <c r="U71" s="37" t="s">
        <v>50</v>
      </c>
      <c r="V71" s="37" t="s">
        <v>50</v>
      </c>
      <c r="W71" s="37" t="s">
        <v>50</v>
      </c>
      <c r="X71" s="37" t="s">
        <v>50</v>
      </c>
      <c r="Y71" s="37" t="s">
        <v>50</v>
      </c>
      <c r="Z71" s="37" t="s">
        <v>50</v>
      </c>
      <c r="AA71" s="37" t="s">
        <v>50</v>
      </c>
      <c r="AB71" s="37" t="s">
        <v>50</v>
      </c>
      <c r="AC71" s="37" t="s">
        <v>50</v>
      </c>
      <c r="AD71" s="37" t="s">
        <v>50</v>
      </c>
      <c r="AE71" s="37" t="s">
        <v>50</v>
      </c>
      <c r="AF71" s="37" t="s">
        <v>50</v>
      </c>
      <c r="AG71" s="37" t="s">
        <v>50</v>
      </c>
      <c r="AH71" s="101">
        <f t="shared" ref="AH71:BM71" si="81">+AH88/(AH68*1000)</f>
        <v>0.20496420419543282</v>
      </c>
      <c r="AI71" s="101">
        <f t="shared" si="81"/>
        <v>0.21685495762711868</v>
      </c>
      <c r="AJ71" s="101">
        <f t="shared" si="81"/>
        <v>0.26163410728582864</v>
      </c>
      <c r="AK71" s="101">
        <f t="shared" si="81"/>
        <v>0.29683310344827585</v>
      </c>
      <c r="AL71" s="101">
        <f t="shared" si="81"/>
        <v>0.31798124383020732</v>
      </c>
      <c r="AM71" s="101">
        <f t="shared" si="81"/>
        <v>0.34629749768303986</v>
      </c>
      <c r="AN71" s="101">
        <f t="shared" si="81"/>
        <v>0.32364120781527533</v>
      </c>
      <c r="AO71" s="101">
        <f t="shared" si="81"/>
        <v>0.3405596529284165</v>
      </c>
      <c r="AP71" s="101">
        <f t="shared" si="81"/>
        <v>0.3627069256756757</v>
      </c>
      <c r="AQ71" s="101">
        <f t="shared" si="81"/>
        <v>0.36824746450304258</v>
      </c>
      <c r="AR71" s="101">
        <f t="shared" si="81"/>
        <v>0.34925207756232685</v>
      </c>
      <c r="AS71" s="101">
        <f t="shared" si="81"/>
        <v>0.28290023201856146</v>
      </c>
      <c r="AT71" s="101">
        <f t="shared" si="81"/>
        <v>0.29194676806083653</v>
      </c>
      <c r="AU71" s="101">
        <f t="shared" si="81"/>
        <v>0.31579415031469826</v>
      </c>
      <c r="AV71" s="101">
        <f t="shared" si="81"/>
        <v>0.29643663099657858</v>
      </c>
      <c r="AW71" s="101">
        <f t="shared" si="81"/>
        <v>0.30460002939774067</v>
      </c>
      <c r="AX71" s="101">
        <f t="shared" si="81"/>
        <v>0.3130017014607146</v>
      </c>
      <c r="AY71" s="101">
        <f t="shared" si="81"/>
        <v>0.33009240246406568</v>
      </c>
      <c r="AZ71" s="101">
        <f t="shared" si="81"/>
        <v>0.32690244720080458</v>
      </c>
      <c r="BA71" s="101">
        <f t="shared" si="81"/>
        <v>0.35247963506028024</v>
      </c>
      <c r="BB71" s="101">
        <f t="shared" si="81"/>
        <v>0.36600631911532383</v>
      </c>
      <c r="BC71" s="101">
        <f t="shared" si="81"/>
        <v>0.38041389728096675</v>
      </c>
      <c r="BD71" s="101">
        <f t="shared" si="81"/>
        <v>0.39304233576642333</v>
      </c>
      <c r="BE71" s="101">
        <f t="shared" si="81"/>
        <v>0.3892963692654095</v>
      </c>
      <c r="BF71" s="101">
        <f t="shared" si="81"/>
        <v>0.39675571186147629</v>
      </c>
      <c r="BG71" s="101">
        <f t="shared" si="81"/>
        <v>0.43187344913151365</v>
      </c>
      <c r="BH71" s="101">
        <f t="shared" si="81"/>
        <v>0.41508854781582055</v>
      </c>
      <c r="BI71" s="102">
        <f t="shared" si="81"/>
        <v>0.39786203187265567</v>
      </c>
      <c r="BJ71" s="101">
        <f t="shared" si="81"/>
        <v>0.4238434438812908</v>
      </c>
      <c r="BK71" s="101">
        <f t="shared" si="81"/>
        <v>0.39616563646296071</v>
      </c>
      <c r="BL71" s="101">
        <f t="shared" si="81"/>
        <v>0.39825691623137938</v>
      </c>
      <c r="BM71" s="101">
        <f t="shared" si="81"/>
        <v>0.42569370035100684</v>
      </c>
      <c r="BN71" s="101">
        <f t="shared" ref="BN71:CE71" si="82">+BN88/(BN68*1000)</f>
        <v>0.41911146161934804</v>
      </c>
      <c r="BO71" s="101">
        <f t="shared" si="82"/>
        <v>0.41880333673572623</v>
      </c>
      <c r="BP71" s="102">
        <f t="shared" si="82"/>
        <v>0.42447611889449816</v>
      </c>
      <c r="BQ71" s="101">
        <f t="shared" si="82"/>
        <v>0.42056262094574093</v>
      </c>
      <c r="BR71" s="101">
        <f t="shared" si="82"/>
        <v>0.39813437016412223</v>
      </c>
      <c r="BS71" s="101">
        <f t="shared" si="82"/>
        <v>0.38340012801206819</v>
      </c>
      <c r="BT71" s="101">
        <f t="shared" si="82"/>
        <v>0.39562133866422106</v>
      </c>
      <c r="BU71" s="101">
        <f t="shared" si="82"/>
        <v>0.40937538329815215</v>
      </c>
      <c r="BV71" s="101">
        <f t="shared" si="82"/>
        <v>0.35833913147105156</v>
      </c>
      <c r="BW71" s="172">
        <f t="shared" si="82"/>
        <v>0.38548055989338137</v>
      </c>
      <c r="BX71" s="172">
        <f t="shared" si="82"/>
        <v>0.39817908017770876</v>
      </c>
      <c r="BY71" s="172">
        <f t="shared" si="82"/>
        <v>0.40154537883230473</v>
      </c>
      <c r="BZ71" s="101">
        <f t="shared" si="82"/>
        <v>0.41756404861041718</v>
      </c>
      <c r="CA71" s="101">
        <f t="shared" si="82"/>
        <v>0.34650279716644694</v>
      </c>
      <c r="CB71" s="101">
        <f t="shared" si="82"/>
        <v>0.39853291142818165</v>
      </c>
      <c r="CC71" s="303">
        <f t="shared" si="82"/>
        <v>0.43038620033028707</v>
      </c>
      <c r="CD71" s="303">
        <f t="shared" si="82"/>
        <v>0.44559538806949406</v>
      </c>
      <c r="CE71" s="303">
        <f t="shared" si="82"/>
        <v>0.45629561625392873</v>
      </c>
      <c r="CF71" s="276">
        <f t="shared" ref="CF71" si="83">+CF88/(CF68*1000)</f>
        <v>0.46999724856311814</v>
      </c>
      <c r="CG71" s="457"/>
      <c r="CH71" s="457"/>
      <c r="CI71" s="457"/>
      <c r="CJ71" s="457"/>
      <c r="CK71" s="457"/>
      <c r="CL71" s="457"/>
      <c r="CM71" s="457"/>
      <c r="CN71" s="457"/>
      <c r="CO71" s="457"/>
      <c r="CP71" s="457"/>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c r="EO71" s="244"/>
      <c r="EP71" s="244"/>
      <c r="EQ71" s="244"/>
      <c r="ER71" s="244"/>
      <c r="ES71" s="244"/>
      <c r="ET71" s="244"/>
      <c r="EU71" s="244"/>
      <c r="EV71" s="244"/>
      <c r="EW71" s="244"/>
      <c r="EX71" s="244"/>
      <c r="EY71" s="244"/>
      <c r="EZ71" s="244"/>
      <c r="FA71" s="244"/>
      <c r="FB71" s="244"/>
      <c r="FC71" s="244"/>
      <c r="FD71" s="244"/>
      <c r="FE71" s="244"/>
      <c r="FF71" s="244"/>
      <c r="FG71" s="244"/>
      <c r="FH71" s="244"/>
      <c r="FI71" s="244"/>
      <c r="FJ71" s="244"/>
      <c r="FK71" s="244"/>
      <c r="FL71" s="244"/>
      <c r="FM71" s="244"/>
      <c r="FN71" s="244"/>
      <c r="FO71" s="244"/>
      <c r="FP71" s="244"/>
      <c r="FQ71" s="244"/>
      <c r="FR71" s="244"/>
      <c r="FS71" s="244"/>
      <c r="FT71" s="244"/>
      <c r="FU71" s="244"/>
      <c r="FV71" s="244"/>
      <c r="FW71" s="244"/>
      <c r="FX71" s="244"/>
      <c r="FY71" s="244"/>
      <c r="FZ71" s="244"/>
      <c r="GA71" s="244"/>
      <c r="GB71" s="244"/>
      <c r="GC71" s="244"/>
      <c r="GD71" s="244"/>
      <c r="GE71" s="244"/>
      <c r="GF71" s="244"/>
      <c r="GG71" s="244"/>
      <c r="GH71" s="244"/>
      <c r="GI71" s="244"/>
      <c r="GJ71" s="244"/>
      <c r="GK71" s="244"/>
      <c r="GL71" s="244"/>
      <c r="GM71" s="244"/>
      <c r="GN71" s="244"/>
      <c r="GO71" s="244"/>
      <c r="GP71" s="244"/>
      <c r="GQ71" s="244"/>
      <c r="GR71" s="244"/>
      <c r="GS71" s="244"/>
      <c r="GT71" s="244"/>
      <c r="GU71" s="244"/>
      <c r="GV71" s="244"/>
      <c r="GW71" s="244"/>
      <c r="GX71" s="244"/>
      <c r="GY71" s="244"/>
      <c r="GZ71" s="244"/>
      <c r="HA71" s="244"/>
      <c r="HB71" s="244"/>
      <c r="HC71" s="244"/>
      <c r="HD71" s="244"/>
      <c r="HE71" s="244"/>
      <c r="HF71" s="244"/>
      <c r="HG71" s="244"/>
      <c r="HH71" s="244"/>
      <c r="HI71" s="244"/>
      <c r="HJ71" s="244"/>
      <c r="HK71" s="244"/>
      <c r="HL71" s="244"/>
      <c r="HM71" s="244"/>
      <c r="HN71" s="244"/>
      <c r="HO71" s="244"/>
      <c r="HP71" s="244"/>
      <c r="HQ71" s="244"/>
      <c r="HR71" s="244"/>
      <c r="HS71" s="244"/>
      <c r="HT71" s="244"/>
      <c r="HU71" s="244"/>
      <c r="HV71" s="244"/>
      <c r="HW71" s="244"/>
      <c r="HX71" s="244"/>
      <c r="HY71" s="244"/>
      <c r="HZ71" s="244"/>
      <c r="IA71" s="244"/>
      <c r="IB71" s="244"/>
      <c r="IC71" s="244"/>
      <c r="ID71" s="244"/>
      <c r="IE71" s="244"/>
      <c r="IF71" s="244"/>
      <c r="IG71" s="244"/>
      <c r="IH71" s="244"/>
      <c r="II71" s="244"/>
      <c r="IJ71" s="244"/>
      <c r="IK71" s="244"/>
      <c r="IL71" s="244"/>
      <c r="IM71" s="244"/>
      <c r="IN71" s="244"/>
      <c r="IO71" s="244"/>
      <c r="IP71" s="244"/>
      <c r="IQ71" s="244"/>
      <c r="IR71" s="244"/>
      <c r="IS71" s="244"/>
      <c r="IT71" s="244"/>
      <c r="IU71" s="244"/>
      <c r="IV71" s="244"/>
      <c r="IW71" s="244"/>
      <c r="IX71" s="244"/>
    </row>
    <row r="72" spans="1:258" x14ac:dyDescent="0.2">
      <c r="A72" s="43" t="s">
        <v>77</v>
      </c>
      <c r="B72" s="44"/>
      <c r="C72" s="45" t="s">
        <v>50</v>
      </c>
      <c r="D72" s="45" t="s">
        <v>50</v>
      </c>
      <c r="E72" s="45" t="s">
        <v>50</v>
      </c>
      <c r="F72" s="45" t="s">
        <v>50</v>
      </c>
      <c r="G72" s="45" t="s">
        <v>50</v>
      </c>
      <c r="H72" s="45" t="s">
        <v>50</v>
      </c>
      <c r="I72" s="45" t="s">
        <v>50</v>
      </c>
      <c r="J72" s="45" t="s">
        <v>50</v>
      </c>
      <c r="K72" s="45" t="s">
        <v>50</v>
      </c>
      <c r="L72" s="45" t="s">
        <v>50</v>
      </c>
      <c r="M72" s="45" t="s">
        <v>50</v>
      </c>
      <c r="N72" s="45" t="s">
        <v>50</v>
      </c>
      <c r="O72" s="45" t="s">
        <v>50</v>
      </c>
      <c r="P72" s="45" t="s">
        <v>50</v>
      </c>
      <c r="Q72" s="45" t="s">
        <v>50</v>
      </c>
      <c r="R72" s="45" t="s">
        <v>50</v>
      </c>
      <c r="S72" s="45" t="s">
        <v>50</v>
      </c>
      <c r="T72" s="45" t="s">
        <v>50</v>
      </c>
      <c r="U72" s="45" t="s">
        <v>50</v>
      </c>
      <c r="V72" s="45" t="s">
        <v>50</v>
      </c>
      <c r="W72" s="45" t="s">
        <v>50</v>
      </c>
      <c r="X72" s="45" t="s">
        <v>50</v>
      </c>
      <c r="Y72" s="45" t="s">
        <v>50</v>
      </c>
      <c r="Z72" s="45" t="s">
        <v>50</v>
      </c>
      <c r="AA72" s="45" t="s">
        <v>50</v>
      </c>
      <c r="AB72" s="45" t="s">
        <v>50</v>
      </c>
      <c r="AC72" s="45" t="s">
        <v>50</v>
      </c>
      <c r="AD72" s="45" t="s">
        <v>50</v>
      </c>
      <c r="AE72" s="45" t="s">
        <v>50</v>
      </c>
      <c r="AF72" s="45" t="s">
        <v>50</v>
      </c>
      <c r="AG72" s="45" t="s">
        <v>50</v>
      </c>
      <c r="AH72" s="45" t="s">
        <v>50</v>
      </c>
      <c r="AI72" s="46">
        <f t="shared" ref="AI72:BN72" si="84">4*AI31/((AH68+AI68)/2/1000)</f>
        <v>2424.4913239962984</v>
      </c>
      <c r="AJ72" s="46">
        <f t="shared" si="84"/>
        <v>2860.5886715138995</v>
      </c>
      <c r="AK72" s="46">
        <f t="shared" si="84"/>
        <v>2646.4831385173425</v>
      </c>
      <c r="AL72" s="46">
        <f t="shared" si="84"/>
        <v>2880.0295972476169</v>
      </c>
      <c r="AM72" s="46">
        <f t="shared" si="84"/>
        <v>2915.8699808795413</v>
      </c>
      <c r="AN72" s="46">
        <f t="shared" si="84"/>
        <v>2881.8544399092971</v>
      </c>
      <c r="AO72" s="46">
        <f t="shared" si="84"/>
        <v>2391.9407768268597</v>
      </c>
      <c r="AP72" s="46">
        <f t="shared" si="84"/>
        <v>2827.1906609030602</v>
      </c>
      <c r="AQ72" s="46">
        <f t="shared" si="84"/>
        <v>2980.5255534864468</v>
      </c>
      <c r="AR72" s="46">
        <f t="shared" si="84"/>
        <v>2705.3044871794873</v>
      </c>
      <c r="AS72" s="46">
        <f t="shared" si="84"/>
        <v>2800.516173987874</v>
      </c>
      <c r="AT72" s="46">
        <f t="shared" si="84"/>
        <v>2366.9973774539876</v>
      </c>
      <c r="AU72" s="46">
        <f t="shared" si="84"/>
        <v>2417.4076158319263</v>
      </c>
      <c r="AV72" s="46">
        <f t="shared" si="84"/>
        <v>2034.3587108141842</v>
      </c>
      <c r="AW72" s="46">
        <f t="shared" si="84"/>
        <v>1768.77143700343</v>
      </c>
      <c r="AX72" s="46">
        <f t="shared" si="84"/>
        <v>1829.7630136299199</v>
      </c>
      <c r="AY72" s="46">
        <f t="shared" si="84"/>
        <v>2016.9804304535646</v>
      </c>
      <c r="AZ72" s="46">
        <f t="shared" si="84"/>
        <v>1795.4276037256561</v>
      </c>
      <c r="BA72" s="46">
        <f t="shared" si="84"/>
        <v>1914.2582947785852</v>
      </c>
      <c r="BB72" s="46">
        <f t="shared" si="84"/>
        <v>2025.3054475457175</v>
      </c>
      <c r="BC72" s="46">
        <f t="shared" si="84"/>
        <v>2078.0871980231664</v>
      </c>
      <c r="BD72" s="46">
        <f t="shared" si="84"/>
        <v>1903.9014770601336</v>
      </c>
      <c r="BE72" s="46">
        <f t="shared" si="84"/>
        <v>1853.0656073373461</v>
      </c>
      <c r="BF72" s="45">
        <f t="shared" si="84"/>
        <v>2069.5290836613904</v>
      </c>
      <c r="BG72" s="45">
        <f t="shared" si="84"/>
        <v>2268.2510979075173</v>
      </c>
      <c r="BH72" s="45">
        <f t="shared" si="84"/>
        <v>2185.2728372655779</v>
      </c>
      <c r="BI72" s="47">
        <f t="shared" si="84"/>
        <v>1856.7489047728845</v>
      </c>
      <c r="BJ72" s="45">
        <f t="shared" si="84"/>
        <v>2198.1876028524412</v>
      </c>
      <c r="BK72" s="45">
        <f t="shared" si="84"/>
        <v>1864.8289516954446</v>
      </c>
      <c r="BL72" s="45">
        <f t="shared" si="84"/>
        <v>1746.3737078856248</v>
      </c>
      <c r="BM72" s="45">
        <f t="shared" si="84"/>
        <v>1653.2827496503503</v>
      </c>
      <c r="BN72" s="45">
        <f t="shared" si="84"/>
        <v>1764.1774532242114</v>
      </c>
      <c r="BO72" s="45">
        <f t="shared" ref="BO72:CF72" si="85">4*BO31/((BN68+BO68)/2/1000)</f>
        <v>1658.2938219057316</v>
      </c>
      <c r="BP72" s="47">
        <f t="shared" si="85"/>
        <v>1499.7182408861074</v>
      </c>
      <c r="BQ72" s="45">
        <f t="shared" si="85"/>
        <v>1389.5920687816092</v>
      </c>
      <c r="BR72" s="45">
        <f t="shared" si="85"/>
        <v>1571.2428457826052</v>
      </c>
      <c r="BS72" s="45">
        <f t="shared" si="85"/>
        <v>1482.8904571987632</v>
      </c>
      <c r="BT72" s="45">
        <f t="shared" si="85"/>
        <v>1274.6503399350077</v>
      </c>
      <c r="BU72" s="45">
        <f t="shared" si="85"/>
        <v>1348.2058075682251</v>
      </c>
      <c r="BV72" s="45">
        <f t="shared" si="85"/>
        <v>1297.5439660923237</v>
      </c>
      <c r="BW72" s="46">
        <f t="shared" si="85"/>
        <v>1253.7030867352353</v>
      </c>
      <c r="BX72" s="46">
        <f t="shared" si="85"/>
        <v>1281.818391390344</v>
      </c>
      <c r="BY72" s="46">
        <f t="shared" si="85"/>
        <v>1359.9572979063835</v>
      </c>
      <c r="BZ72" s="45">
        <f t="shared" si="85"/>
        <v>1372.6678901781879</v>
      </c>
      <c r="CA72" s="45">
        <f t="shared" si="85"/>
        <v>2125.2428813277693</v>
      </c>
      <c r="CB72" s="45">
        <f t="shared" si="85"/>
        <v>1930.6886944209245</v>
      </c>
      <c r="CC72" s="293">
        <f t="shared" si="85"/>
        <v>1992.4998366727909</v>
      </c>
      <c r="CD72" s="293">
        <f t="shared" si="85"/>
        <v>2282.2345282280039</v>
      </c>
      <c r="CE72" s="293">
        <f t="shared" si="85"/>
        <v>2820.7130449785991</v>
      </c>
      <c r="CF72" s="270">
        <f t="shared" si="85"/>
        <v>2042.5961582511952</v>
      </c>
      <c r="CG72" s="457"/>
      <c r="CH72" s="457"/>
      <c r="CI72" s="457"/>
      <c r="CJ72" s="457"/>
      <c r="CK72" s="457"/>
      <c r="CL72" s="457"/>
      <c r="CM72" s="457"/>
      <c r="CN72" s="457"/>
      <c r="CO72" s="457"/>
      <c r="CP72" s="457"/>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c r="EO72" s="244"/>
      <c r="EP72" s="244"/>
      <c r="EQ72" s="244"/>
      <c r="ER72" s="244"/>
      <c r="ES72" s="244"/>
      <c r="ET72" s="244"/>
      <c r="EU72" s="244"/>
      <c r="EV72" s="244"/>
      <c r="EW72" s="244"/>
      <c r="EX72" s="244"/>
      <c r="EY72" s="244"/>
      <c r="EZ72" s="244"/>
      <c r="FA72" s="244"/>
      <c r="FB72" s="244"/>
      <c r="FC72" s="244"/>
      <c r="FD72" s="244"/>
      <c r="FE72" s="244"/>
      <c r="FF72" s="244"/>
      <c r="FG72" s="244"/>
      <c r="FH72" s="244"/>
      <c r="FI72" s="244"/>
      <c r="FJ72" s="244"/>
      <c r="FK72" s="244"/>
      <c r="FL72" s="244"/>
      <c r="FM72" s="244"/>
      <c r="FN72" s="244"/>
      <c r="FO72" s="244"/>
      <c r="FP72" s="244"/>
      <c r="FQ72" s="244"/>
      <c r="FR72" s="244"/>
      <c r="FS72" s="244"/>
      <c r="FT72" s="244"/>
      <c r="FU72" s="244"/>
      <c r="FV72" s="244"/>
      <c r="FW72" s="244"/>
      <c r="FX72" s="244"/>
      <c r="FY72" s="244"/>
      <c r="FZ72" s="244"/>
      <c r="GA72" s="244"/>
      <c r="GB72" s="244"/>
      <c r="GC72" s="244"/>
      <c r="GD72" s="244"/>
      <c r="GE72" s="244"/>
      <c r="GF72" s="244"/>
      <c r="GG72" s="244"/>
      <c r="GH72" s="244"/>
      <c r="GI72" s="244"/>
      <c r="GJ72" s="244"/>
      <c r="GK72" s="244"/>
      <c r="GL72" s="244"/>
      <c r="GM72" s="244"/>
      <c r="GN72" s="244"/>
      <c r="GO72" s="244"/>
      <c r="GP72" s="244"/>
      <c r="GQ72" s="244"/>
      <c r="GR72" s="244"/>
      <c r="GS72" s="244"/>
      <c r="GT72" s="244"/>
      <c r="GU72" s="244"/>
      <c r="GV72" s="244"/>
      <c r="GW72" s="244"/>
      <c r="GX72" s="244"/>
      <c r="GY72" s="244"/>
      <c r="GZ72" s="244"/>
      <c r="HA72" s="244"/>
      <c r="HB72" s="244"/>
      <c r="HC72" s="244"/>
      <c r="HD72" s="244"/>
      <c r="HE72" s="244"/>
      <c r="HF72" s="244"/>
      <c r="HG72" s="244"/>
      <c r="HH72" s="244"/>
      <c r="HI72" s="244"/>
      <c r="HJ72" s="244"/>
      <c r="HK72" s="244"/>
      <c r="HL72" s="244"/>
      <c r="HM72" s="244"/>
      <c r="HN72" s="244"/>
      <c r="HO72" s="244"/>
      <c r="HP72" s="244"/>
      <c r="HQ72" s="244"/>
      <c r="HR72" s="244"/>
      <c r="HS72" s="244"/>
      <c r="HT72" s="244"/>
      <c r="HU72" s="244"/>
      <c r="HV72" s="244"/>
      <c r="HW72" s="244"/>
      <c r="HX72" s="244"/>
      <c r="HY72" s="244"/>
      <c r="HZ72" s="244"/>
      <c r="IA72" s="244"/>
      <c r="IB72" s="244"/>
      <c r="IC72" s="244"/>
      <c r="ID72" s="244"/>
      <c r="IE72" s="244"/>
      <c r="IF72" s="244"/>
      <c r="IG72" s="244"/>
      <c r="IH72" s="244"/>
      <c r="II72" s="244"/>
      <c r="IJ72" s="244"/>
      <c r="IK72" s="244"/>
      <c r="IL72" s="244"/>
      <c r="IM72" s="244"/>
      <c r="IN72" s="244"/>
      <c r="IO72" s="244"/>
      <c r="IP72" s="244"/>
      <c r="IQ72" s="244"/>
      <c r="IR72" s="244"/>
      <c r="IS72" s="244"/>
      <c r="IT72" s="244"/>
      <c r="IU72" s="244"/>
      <c r="IV72" s="244"/>
      <c r="IW72" s="244"/>
      <c r="IX72" s="244"/>
    </row>
    <row r="73" spans="1:258" x14ac:dyDescent="0.2">
      <c r="A73" s="43" t="s">
        <v>78</v>
      </c>
      <c r="B73" s="44"/>
      <c r="C73" s="45" t="s">
        <v>50</v>
      </c>
      <c r="D73" s="45" t="s">
        <v>50</v>
      </c>
      <c r="E73" s="45" t="s">
        <v>50</v>
      </c>
      <c r="F73" s="45" t="s">
        <v>50</v>
      </c>
      <c r="G73" s="45" t="s">
        <v>50</v>
      </c>
      <c r="H73" s="45" t="s">
        <v>50</v>
      </c>
      <c r="I73" s="45" t="s">
        <v>50</v>
      </c>
      <c r="J73" s="45" t="s">
        <v>50</v>
      </c>
      <c r="K73" s="45" t="s">
        <v>50</v>
      </c>
      <c r="L73" s="45" t="s">
        <v>50</v>
      </c>
      <c r="M73" s="45" t="s">
        <v>50</v>
      </c>
      <c r="N73" s="45" t="s">
        <v>50</v>
      </c>
      <c r="O73" s="45" t="s">
        <v>50</v>
      </c>
      <c r="P73" s="45" t="s">
        <v>50</v>
      </c>
      <c r="Q73" s="45" t="s">
        <v>50</v>
      </c>
      <c r="R73" s="45" t="s">
        <v>50</v>
      </c>
      <c r="S73" s="45" t="s">
        <v>50</v>
      </c>
      <c r="T73" s="45" t="s">
        <v>50</v>
      </c>
      <c r="U73" s="45" t="s">
        <v>50</v>
      </c>
      <c r="V73" s="45" t="s">
        <v>50</v>
      </c>
      <c r="W73" s="45" t="s">
        <v>50</v>
      </c>
      <c r="X73" s="45" t="s">
        <v>50</v>
      </c>
      <c r="Y73" s="45" t="s">
        <v>50</v>
      </c>
      <c r="Z73" s="45" t="s">
        <v>50</v>
      </c>
      <c r="AA73" s="45" t="s">
        <v>50</v>
      </c>
      <c r="AB73" s="45" t="s">
        <v>50</v>
      </c>
      <c r="AC73" s="45" t="s">
        <v>50</v>
      </c>
      <c r="AD73" s="45" t="s">
        <v>50</v>
      </c>
      <c r="AE73" s="45" t="s">
        <v>50</v>
      </c>
      <c r="AF73" s="45" t="s">
        <v>50</v>
      </c>
      <c r="AG73" s="45" t="s">
        <v>50</v>
      </c>
      <c r="AH73" s="45" t="s">
        <v>50</v>
      </c>
      <c r="AI73" s="46">
        <f t="shared" ref="AI73:BU73" si="86">4*AI37/((AH68+AI68)/2/1000)</f>
        <v>-1222.2610979211797</v>
      </c>
      <c r="AJ73" s="46">
        <f t="shared" si="86"/>
        <v>-1294.1309230555719</v>
      </c>
      <c r="AK73" s="46">
        <f t="shared" si="86"/>
        <v>-1043.9491887627469</v>
      </c>
      <c r="AL73" s="46">
        <f t="shared" si="86"/>
        <v>-1311.4962766836186</v>
      </c>
      <c r="AM73" s="46">
        <f t="shared" si="86"/>
        <v>-1212.5123168260038</v>
      </c>
      <c r="AN73" s="46">
        <f t="shared" si="86"/>
        <v>-1384.7180863492065</v>
      </c>
      <c r="AO73" s="46">
        <f t="shared" si="86"/>
        <v>-1098.9319978776739</v>
      </c>
      <c r="AP73" s="46">
        <f t="shared" si="86"/>
        <v>-1373.1359310079179</v>
      </c>
      <c r="AQ73" s="46">
        <f t="shared" si="86"/>
        <v>-1223.0752241671839</v>
      </c>
      <c r="AR73" s="46">
        <f t="shared" si="86"/>
        <v>-1513.0584533653846</v>
      </c>
      <c r="AS73" s="46">
        <f t="shared" si="86"/>
        <v>-1192.0297786817916</v>
      </c>
      <c r="AT73" s="46">
        <f t="shared" si="86"/>
        <v>-1411.4497576687115</v>
      </c>
      <c r="AU73" s="46">
        <f t="shared" si="86"/>
        <v>-1333.6472856874882</v>
      </c>
      <c r="AV73" s="46">
        <f t="shared" si="86"/>
        <v>-1320.5550769295351</v>
      </c>
      <c r="AW73" s="46">
        <f t="shared" si="86"/>
        <v>-1152.9705799426738</v>
      </c>
      <c r="AX73" s="46">
        <f t="shared" si="86"/>
        <v>-1295.9862315129867</v>
      </c>
      <c r="AY73" s="46">
        <f t="shared" si="86"/>
        <v>-1272.9414790281605</v>
      </c>
      <c r="AZ73" s="46">
        <f t="shared" si="86"/>
        <v>-1308.856900931414</v>
      </c>
      <c r="BA73" s="46">
        <f t="shared" si="86"/>
        <v>-953.86649041639112</v>
      </c>
      <c r="BB73" s="46">
        <f t="shared" si="86"/>
        <v>-1188.3221045877449</v>
      </c>
      <c r="BC73" s="46">
        <f t="shared" si="86"/>
        <v>-1138.4092664092664</v>
      </c>
      <c r="BD73" s="46">
        <f t="shared" si="86"/>
        <v>-1107.8841870824053</v>
      </c>
      <c r="BE73" s="46">
        <f t="shared" si="86"/>
        <v>-1038.2344511321296</v>
      </c>
      <c r="BF73" s="45">
        <f t="shared" si="86"/>
        <v>-1175.7192016517549</v>
      </c>
      <c r="BG73" s="45">
        <f t="shared" si="86"/>
        <v>-1078.3776801859985</v>
      </c>
      <c r="BH73" s="45">
        <f t="shared" si="86"/>
        <v>-1005.2994555353902</v>
      </c>
      <c r="BI73" s="47">
        <f t="shared" si="86"/>
        <v>-856.72123587733472</v>
      </c>
      <c r="BJ73" s="45">
        <f t="shared" si="86"/>
        <v>-964.56390565002755</v>
      </c>
      <c r="BK73" s="45">
        <f t="shared" si="86"/>
        <v>-910.3390888287912</v>
      </c>
      <c r="BL73" s="45">
        <f t="shared" si="86"/>
        <v>-864.984664094192</v>
      </c>
      <c r="BM73" s="45">
        <f t="shared" si="86"/>
        <v>-728.3311283311283</v>
      </c>
      <c r="BN73" s="45">
        <f t="shared" si="86"/>
        <v>-922.3851065743321</v>
      </c>
      <c r="BO73" s="45">
        <f t="shared" si="86"/>
        <v>-841.64123431671749</v>
      </c>
      <c r="BP73" s="47">
        <f t="shared" si="86"/>
        <v>-838.01268159563358</v>
      </c>
      <c r="BQ73" s="45">
        <f t="shared" si="86"/>
        <v>-753.86973180076632</v>
      </c>
      <c r="BR73" s="45">
        <f t="shared" si="86"/>
        <v>-912.48398902767872</v>
      </c>
      <c r="BS73" s="45">
        <f t="shared" si="86"/>
        <v>-831.62623932838528</v>
      </c>
      <c r="BT73" s="45">
        <f t="shared" si="86"/>
        <v>-800.6224622566873</v>
      </c>
      <c r="BU73" s="45">
        <f t="shared" si="86"/>
        <v>-679.20651978796207</v>
      </c>
      <c r="BV73" s="45">
        <f>4*(BV37+35)/((BU68+BV68)/2/1000)</f>
        <v>-751.23891982028306</v>
      </c>
      <c r="BW73" s="46">
        <f t="shared" ref="BW73:CF73" si="87">4*BW37/((BV68+BW68)/2/1000)</f>
        <v>-769.3189691144255</v>
      </c>
      <c r="BX73" s="46">
        <f t="shared" si="87"/>
        <v>-748.05175804380087</v>
      </c>
      <c r="BY73" s="46">
        <f t="shared" si="87"/>
        <v>-644.76642140189483</v>
      </c>
      <c r="BZ73" s="45">
        <f t="shared" si="87"/>
        <v>-781.30729293897275</v>
      </c>
      <c r="CA73" s="45">
        <f t="shared" si="87"/>
        <v>-701.89448946947834</v>
      </c>
      <c r="CB73" s="45">
        <f t="shared" si="87"/>
        <v>-680.92627109013665</v>
      </c>
      <c r="CC73" s="293">
        <f t="shared" si="87"/>
        <v>-613.57213834588572</v>
      </c>
      <c r="CD73" s="293">
        <f t="shared" si="87"/>
        <v>-714.73765814631827</v>
      </c>
      <c r="CE73" s="293">
        <f t="shared" si="87"/>
        <v>-596.84105369025588</v>
      </c>
      <c r="CF73" s="270">
        <f t="shared" si="87"/>
        <v>-586.45161581076343</v>
      </c>
      <c r="CG73" s="457"/>
      <c r="CH73" s="457"/>
      <c r="CI73" s="457"/>
      <c r="CJ73" s="457"/>
      <c r="CK73" s="457"/>
      <c r="CL73" s="457"/>
      <c r="CM73" s="457"/>
      <c r="CN73" s="457"/>
      <c r="CO73" s="457"/>
      <c r="CP73" s="457"/>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c r="EO73" s="244"/>
      <c r="EP73" s="244"/>
      <c r="EQ73" s="244"/>
      <c r="ER73" s="244"/>
      <c r="ES73" s="244"/>
      <c r="ET73" s="244"/>
      <c r="EU73" s="244"/>
      <c r="EV73" s="244"/>
      <c r="EW73" s="244"/>
      <c r="EX73" s="244"/>
      <c r="EY73" s="244"/>
      <c r="EZ73" s="244"/>
      <c r="FA73" s="244"/>
      <c r="FB73" s="244"/>
      <c r="FC73" s="244"/>
      <c r="FD73" s="244"/>
      <c r="FE73" s="244"/>
      <c r="FF73" s="244"/>
      <c r="FG73" s="244"/>
      <c r="FH73" s="244"/>
      <c r="FI73" s="244"/>
      <c r="FJ73" s="244"/>
      <c r="FK73" s="244"/>
      <c r="FL73" s="244"/>
      <c r="FM73" s="244"/>
      <c r="FN73" s="244"/>
      <c r="FO73" s="244"/>
      <c r="FP73" s="244"/>
      <c r="FQ73" s="244"/>
      <c r="FR73" s="244"/>
      <c r="FS73" s="244"/>
      <c r="FT73" s="244"/>
      <c r="FU73" s="244"/>
      <c r="FV73" s="244"/>
      <c r="FW73" s="244"/>
      <c r="FX73" s="244"/>
      <c r="FY73" s="244"/>
      <c r="FZ73" s="244"/>
      <c r="GA73" s="244"/>
      <c r="GB73" s="244"/>
      <c r="GC73" s="244"/>
      <c r="GD73" s="244"/>
      <c r="GE73" s="244"/>
      <c r="GF73" s="244"/>
      <c r="GG73" s="244"/>
      <c r="GH73" s="244"/>
      <c r="GI73" s="244"/>
      <c r="GJ73" s="244"/>
      <c r="GK73" s="244"/>
      <c r="GL73" s="244"/>
      <c r="GM73" s="244"/>
      <c r="GN73" s="244"/>
      <c r="GO73" s="244"/>
      <c r="GP73" s="244"/>
      <c r="GQ73" s="244"/>
      <c r="GR73" s="244"/>
      <c r="GS73" s="244"/>
      <c r="GT73" s="244"/>
      <c r="GU73" s="244"/>
      <c r="GV73" s="244"/>
      <c r="GW73" s="244"/>
      <c r="GX73" s="244"/>
      <c r="GY73" s="244"/>
      <c r="GZ73" s="244"/>
      <c r="HA73" s="244"/>
      <c r="HB73" s="244"/>
      <c r="HC73" s="244"/>
      <c r="HD73" s="244"/>
      <c r="HE73" s="244"/>
      <c r="HF73" s="244"/>
      <c r="HG73" s="244"/>
      <c r="HH73" s="244"/>
      <c r="HI73" s="244"/>
      <c r="HJ73" s="244"/>
      <c r="HK73" s="244"/>
      <c r="HL73" s="244"/>
      <c r="HM73" s="244"/>
      <c r="HN73" s="244"/>
      <c r="HO73" s="244"/>
      <c r="HP73" s="244"/>
      <c r="HQ73" s="244"/>
      <c r="HR73" s="244"/>
      <c r="HS73" s="244"/>
      <c r="HT73" s="244"/>
      <c r="HU73" s="244"/>
      <c r="HV73" s="244"/>
      <c r="HW73" s="244"/>
      <c r="HX73" s="244"/>
      <c r="HY73" s="244"/>
      <c r="HZ73" s="244"/>
      <c r="IA73" s="244"/>
      <c r="IB73" s="244"/>
      <c r="IC73" s="244"/>
      <c r="ID73" s="244"/>
      <c r="IE73" s="244"/>
      <c r="IF73" s="244"/>
      <c r="IG73" s="244"/>
      <c r="IH73" s="244"/>
      <c r="II73" s="244"/>
      <c r="IJ73" s="244"/>
      <c r="IK73" s="244"/>
      <c r="IL73" s="244"/>
      <c r="IM73" s="244"/>
      <c r="IN73" s="244"/>
      <c r="IO73" s="244"/>
      <c r="IP73" s="244"/>
      <c r="IQ73" s="244"/>
      <c r="IR73" s="244"/>
      <c r="IS73" s="244"/>
      <c r="IT73" s="244"/>
      <c r="IU73" s="244"/>
      <c r="IV73" s="244"/>
      <c r="IW73" s="244"/>
      <c r="IX73" s="244"/>
    </row>
    <row r="74" spans="1:258" x14ac:dyDescent="0.2">
      <c r="A74" s="104" t="s">
        <v>79</v>
      </c>
      <c r="B74" s="105"/>
      <c r="C74" s="106" t="s">
        <v>50</v>
      </c>
      <c r="D74" s="106" t="s">
        <v>50</v>
      </c>
      <c r="E74" s="106" t="s">
        <v>50</v>
      </c>
      <c r="F74" s="106" t="s">
        <v>50</v>
      </c>
      <c r="G74" s="106" t="s">
        <v>50</v>
      </c>
      <c r="H74" s="106" t="s">
        <v>50</v>
      </c>
      <c r="I74" s="106" t="s">
        <v>50</v>
      </c>
      <c r="J74" s="106" t="s">
        <v>50</v>
      </c>
      <c r="K74" s="106" t="s">
        <v>50</v>
      </c>
      <c r="L74" s="106" t="s">
        <v>50</v>
      </c>
      <c r="M74" s="106" t="s">
        <v>50</v>
      </c>
      <c r="N74" s="106" t="s">
        <v>50</v>
      </c>
      <c r="O74" s="106" t="s">
        <v>50</v>
      </c>
      <c r="P74" s="106" t="s">
        <v>50</v>
      </c>
      <c r="Q74" s="106" t="s">
        <v>50</v>
      </c>
      <c r="R74" s="106" t="s">
        <v>50</v>
      </c>
      <c r="S74" s="106" t="s">
        <v>50</v>
      </c>
      <c r="T74" s="106" t="s">
        <v>50</v>
      </c>
      <c r="U74" s="106" t="s">
        <v>50</v>
      </c>
      <c r="V74" s="106" t="s">
        <v>50</v>
      </c>
      <c r="W74" s="106" t="s">
        <v>50</v>
      </c>
      <c r="X74" s="106" t="s">
        <v>50</v>
      </c>
      <c r="Y74" s="106" t="s">
        <v>50</v>
      </c>
      <c r="Z74" s="106" t="s">
        <v>50</v>
      </c>
      <c r="AA74" s="106" t="s">
        <v>50</v>
      </c>
      <c r="AB74" s="106" t="s">
        <v>50</v>
      </c>
      <c r="AC74" s="106" t="s">
        <v>50</v>
      </c>
      <c r="AD74" s="106" t="s">
        <v>50</v>
      </c>
      <c r="AE74" s="106" t="s">
        <v>50</v>
      </c>
      <c r="AF74" s="106" t="s">
        <v>50</v>
      </c>
      <c r="AG74" s="106" t="s">
        <v>50</v>
      </c>
      <c r="AH74" s="106" t="s">
        <v>50</v>
      </c>
      <c r="AI74" s="107">
        <f t="shared" ref="AI74:BU74" si="88">4*AI43/((AH68+AI68)/2/1000)</f>
        <v>1202.2302260751187</v>
      </c>
      <c r="AJ74" s="107">
        <f t="shared" si="88"/>
        <v>1566.4577484583276</v>
      </c>
      <c r="AK74" s="107">
        <f t="shared" si="88"/>
        <v>1602.5339497545958</v>
      </c>
      <c r="AL74" s="107">
        <f t="shared" si="88"/>
        <v>1568.5333205639981</v>
      </c>
      <c r="AM74" s="107">
        <f t="shared" si="88"/>
        <v>1703.3576640535375</v>
      </c>
      <c r="AN74" s="107">
        <f t="shared" si="88"/>
        <v>1497.1363535600906</v>
      </c>
      <c r="AO74" s="107">
        <f t="shared" si="88"/>
        <v>1293.0087789491859</v>
      </c>
      <c r="AP74" s="107">
        <f t="shared" si="88"/>
        <v>1454.0547298951424</v>
      </c>
      <c r="AQ74" s="107">
        <f t="shared" si="88"/>
        <v>1757.4503293192631</v>
      </c>
      <c r="AR74" s="107">
        <f t="shared" si="88"/>
        <v>1096.0921876602565</v>
      </c>
      <c r="AS74" s="107">
        <f t="shared" si="88"/>
        <v>1608.4863953060826</v>
      </c>
      <c r="AT74" s="107">
        <f t="shared" si="88"/>
        <v>955.54761978527597</v>
      </c>
      <c r="AU74" s="107">
        <f t="shared" si="88"/>
        <v>1083.7603301444383</v>
      </c>
      <c r="AV74" s="107">
        <f t="shared" si="88"/>
        <v>713.80363388464912</v>
      </c>
      <c r="AW74" s="107">
        <f t="shared" si="88"/>
        <v>601.351895308964</v>
      </c>
      <c r="AX74" s="107">
        <f t="shared" si="88"/>
        <v>533.77678211693296</v>
      </c>
      <c r="AY74" s="107">
        <f t="shared" si="88"/>
        <v>744.03895142540398</v>
      </c>
      <c r="AZ74" s="107">
        <f t="shared" si="88"/>
        <v>486.57070279424221</v>
      </c>
      <c r="BA74" s="107">
        <f t="shared" si="88"/>
        <v>960.39180436219419</v>
      </c>
      <c r="BB74" s="107">
        <f t="shared" si="88"/>
        <v>824.15049085659302</v>
      </c>
      <c r="BC74" s="107">
        <f t="shared" si="88"/>
        <v>938.44241037837855</v>
      </c>
      <c r="BD74" s="107">
        <f t="shared" si="88"/>
        <v>794.82946518188578</v>
      </c>
      <c r="BE74" s="107">
        <f t="shared" si="88"/>
        <v>815.97761650902851</v>
      </c>
      <c r="BF74" s="106">
        <f t="shared" si="88"/>
        <v>899.3157319752238</v>
      </c>
      <c r="BG74" s="106">
        <f t="shared" si="88"/>
        <v>1188.8299250839575</v>
      </c>
      <c r="BH74" s="106">
        <f t="shared" si="88"/>
        <v>1177.8824246823958</v>
      </c>
      <c r="BI74" s="108">
        <f t="shared" si="88"/>
        <v>999.60409499654122</v>
      </c>
      <c r="BJ74" s="106">
        <f t="shared" si="88"/>
        <v>1234.9162479429513</v>
      </c>
      <c r="BK74" s="106">
        <f t="shared" si="88"/>
        <v>953.39894545454604</v>
      </c>
      <c r="BL74" s="106">
        <f t="shared" si="88"/>
        <v>879.63463199762657</v>
      </c>
      <c r="BM74" s="106">
        <f t="shared" si="88"/>
        <v>923.66698703458769</v>
      </c>
      <c r="BN74" s="106">
        <f t="shared" si="88"/>
        <v>841.91954513895212</v>
      </c>
      <c r="BO74" s="106">
        <f t="shared" si="88"/>
        <v>818.11070898609785</v>
      </c>
      <c r="BP74" s="108">
        <f t="shared" si="88"/>
        <v>662.15503356609781</v>
      </c>
      <c r="BQ74" s="106">
        <f t="shared" si="88"/>
        <v>636.21275843678154</v>
      </c>
      <c r="BR74" s="106">
        <f t="shared" si="88"/>
        <v>658.90558761537761</v>
      </c>
      <c r="BS74" s="106">
        <f t="shared" si="88"/>
        <v>653.17934871722002</v>
      </c>
      <c r="BT74" s="106">
        <f t="shared" si="88"/>
        <v>470.35131194382149</v>
      </c>
      <c r="BU74" s="106">
        <f t="shared" si="88"/>
        <v>666.78837112689939</v>
      </c>
      <c r="BV74" s="106">
        <f>4*(BV43+35)/((BU68+BV68)/2/1000)</f>
        <v>541.30108442121627</v>
      </c>
      <c r="BW74" s="107">
        <f t="shared" ref="BW74:CE74" si="89">4*BW43/((BV68+BW68)/2/1000)</f>
        <v>468.23964673086499</v>
      </c>
      <c r="BX74" s="107">
        <f t="shared" si="89"/>
        <v>529.9641748275651</v>
      </c>
      <c r="BY74" s="107">
        <f t="shared" si="89"/>
        <v>706.08853170926147</v>
      </c>
      <c r="BZ74" s="106">
        <f t="shared" si="89"/>
        <v>584.98079970279537</v>
      </c>
      <c r="CA74" s="106">
        <f t="shared" si="89"/>
        <v>1416.0092097154304</v>
      </c>
      <c r="CB74" s="106">
        <f t="shared" si="89"/>
        <v>1223.8211563024227</v>
      </c>
      <c r="CC74" s="304">
        <f t="shared" si="89"/>
        <v>1372.86531768123</v>
      </c>
      <c r="CD74" s="304">
        <f t="shared" si="89"/>
        <v>1570.6781637024687</v>
      </c>
      <c r="CE74" s="304">
        <f t="shared" si="89"/>
        <v>2228.1026721016133</v>
      </c>
      <c r="CF74" s="277">
        <f>4*CF43/((CE68+CF68)/2/1000)</f>
        <v>1453.8152598503195</v>
      </c>
      <c r="CG74" s="457"/>
      <c r="CH74" s="457"/>
      <c r="CI74" s="457"/>
      <c r="CJ74" s="457"/>
      <c r="CK74" s="457"/>
      <c r="CL74" s="457"/>
      <c r="CM74" s="457"/>
      <c r="CN74" s="457"/>
      <c r="CO74" s="457"/>
      <c r="CP74" s="457"/>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c r="DR74" s="244"/>
      <c r="DS74" s="244"/>
      <c r="DT74" s="244"/>
      <c r="DU74" s="244"/>
      <c r="DV74" s="244"/>
      <c r="DW74" s="244"/>
      <c r="DX74" s="244"/>
      <c r="DY74" s="244"/>
      <c r="DZ74" s="244"/>
      <c r="EA74" s="244"/>
      <c r="EB74" s="244"/>
      <c r="EC74" s="244"/>
      <c r="ED74" s="244"/>
      <c r="EE74" s="244"/>
      <c r="EF74" s="244"/>
      <c r="EG74" s="244"/>
      <c r="EH74" s="244"/>
      <c r="EI74" s="244"/>
      <c r="EJ74" s="244"/>
      <c r="EK74" s="244"/>
      <c r="EL74" s="244"/>
      <c r="EM74" s="244"/>
      <c r="EN74" s="244"/>
      <c r="EO74" s="244"/>
      <c r="EP74" s="244"/>
      <c r="EQ74" s="244"/>
      <c r="ER74" s="244"/>
      <c r="ES74" s="244"/>
      <c r="ET74" s="244"/>
      <c r="EU74" s="244"/>
      <c r="EV74" s="244"/>
      <c r="EW74" s="244"/>
      <c r="EX74" s="244"/>
      <c r="EY74" s="244"/>
      <c r="EZ74" s="244"/>
      <c r="FA74" s="244"/>
      <c r="FB74" s="244"/>
      <c r="FC74" s="244"/>
      <c r="FD74" s="244"/>
      <c r="FE74" s="244"/>
      <c r="FF74" s="244"/>
      <c r="FG74" s="244"/>
      <c r="FH74" s="244"/>
      <c r="FI74" s="244"/>
      <c r="FJ74" s="244"/>
      <c r="FK74" s="244"/>
      <c r="FL74" s="244"/>
      <c r="FM74" s="244"/>
      <c r="FN74" s="244"/>
      <c r="FO74" s="244"/>
      <c r="FP74" s="244"/>
      <c r="FQ74" s="244"/>
      <c r="FR74" s="244"/>
      <c r="FS74" s="244"/>
      <c r="FT74" s="244"/>
      <c r="FU74" s="244"/>
      <c r="FV74" s="244"/>
      <c r="FW74" s="244"/>
      <c r="FX74" s="244"/>
      <c r="FY74" s="244"/>
      <c r="FZ74" s="244"/>
      <c r="GA74" s="244"/>
      <c r="GB74" s="244"/>
      <c r="GC74" s="244"/>
      <c r="GD74" s="244"/>
      <c r="GE74" s="244"/>
      <c r="GF74" s="244"/>
      <c r="GG74" s="244"/>
      <c r="GH74" s="244"/>
      <c r="GI74" s="244"/>
      <c r="GJ74" s="244"/>
      <c r="GK74" s="244"/>
      <c r="GL74" s="244"/>
      <c r="GM74" s="244"/>
      <c r="GN74" s="244"/>
      <c r="GO74" s="244"/>
      <c r="GP74" s="244"/>
      <c r="GQ74" s="244"/>
      <c r="GR74" s="244"/>
      <c r="GS74" s="244"/>
      <c r="GT74" s="244"/>
      <c r="GU74" s="244"/>
      <c r="GV74" s="244"/>
      <c r="GW74" s="244"/>
      <c r="GX74" s="244"/>
      <c r="GY74" s="244"/>
      <c r="GZ74" s="244"/>
      <c r="HA74" s="244"/>
      <c r="HB74" s="244"/>
      <c r="HC74" s="244"/>
      <c r="HD74" s="244"/>
      <c r="HE74" s="244"/>
      <c r="HF74" s="244"/>
      <c r="HG74" s="244"/>
      <c r="HH74" s="244"/>
      <c r="HI74" s="244"/>
      <c r="HJ74" s="244"/>
      <c r="HK74" s="244"/>
      <c r="HL74" s="244"/>
      <c r="HM74" s="244"/>
      <c r="HN74" s="244"/>
      <c r="HO74" s="244"/>
      <c r="HP74" s="244"/>
      <c r="HQ74" s="244"/>
      <c r="HR74" s="244"/>
      <c r="HS74" s="244"/>
      <c r="HT74" s="244"/>
      <c r="HU74" s="244"/>
      <c r="HV74" s="244"/>
      <c r="HW74" s="244"/>
      <c r="HX74" s="244"/>
      <c r="HY74" s="244"/>
      <c r="HZ74" s="244"/>
      <c r="IA74" s="244"/>
      <c r="IB74" s="244"/>
      <c r="IC74" s="244"/>
      <c r="ID74" s="244"/>
      <c r="IE74" s="244"/>
      <c r="IF74" s="244"/>
      <c r="IG74" s="244"/>
      <c r="IH74" s="244"/>
      <c r="II74" s="244"/>
      <c r="IJ74" s="244"/>
      <c r="IK74" s="244"/>
      <c r="IL74" s="244"/>
      <c r="IM74" s="244"/>
      <c r="IN74" s="244"/>
      <c r="IO74" s="244"/>
      <c r="IP74" s="244"/>
      <c r="IQ74" s="244"/>
      <c r="IR74" s="244"/>
      <c r="IS74" s="244"/>
      <c r="IT74" s="244"/>
      <c r="IU74" s="244"/>
      <c r="IV74" s="244"/>
      <c r="IW74" s="244"/>
      <c r="IX74" s="244"/>
    </row>
    <row r="75" spans="1:258" x14ac:dyDescent="0.2">
      <c r="A75" s="10"/>
      <c r="B75" s="11"/>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9"/>
      <c r="AD75" s="29"/>
      <c r="AE75" s="29"/>
      <c r="AF75" s="29"/>
      <c r="AG75" s="29"/>
      <c r="AH75" s="29"/>
      <c r="AI75" s="29"/>
      <c r="AJ75" s="29"/>
      <c r="AK75" s="7"/>
      <c r="AL75" s="29"/>
      <c r="AM75" s="29"/>
      <c r="AN75" s="29"/>
      <c r="AO75" s="29"/>
      <c r="AP75" s="29"/>
      <c r="AQ75" s="29"/>
      <c r="AR75" s="29"/>
      <c r="AS75" s="29"/>
      <c r="AT75" s="29"/>
      <c r="AU75" s="29"/>
      <c r="AV75" s="29"/>
      <c r="AW75" s="29"/>
      <c r="AX75" s="29"/>
      <c r="AY75" s="29"/>
      <c r="AZ75" s="29"/>
      <c r="BA75" s="29"/>
      <c r="BB75" s="29"/>
      <c r="BC75" s="29"/>
      <c r="BD75" s="29"/>
      <c r="BE75" s="29"/>
      <c r="BF75" s="28"/>
      <c r="BG75" s="28"/>
      <c r="BH75" s="28"/>
      <c r="BI75" s="7"/>
      <c r="BJ75" s="28"/>
      <c r="BK75" s="28"/>
      <c r="BL75" s="28"/>
      <c r="BM75" s="28"/>
      <c r="BN75" s="28"/>
      <c r="BO75" s="28"/>
      <c r="BP75" s="7"/>
      <c r="BQ75" s="28"/>
      <c r="BR75" s="7"/>
      <c r="BS75" s="28"/>
      <c r="BT75" s="28"/>
      <c r="BU75" s="28"/>
      <c r="BV75" s="28"/>
      <c r="BW75" s="29"/>
      <c r="BX75" s="29"/>
      <c r="BY75" s="29"/>
      <c r="BZ75" s="28"/>
      <c r="CA75" s="28"/>
      <c r="CB75" s="28"/>
      <c r="CC75" s="291"/>
      <c r="CD75" s="291"/>
      <c r="CE75" s="291"/>
      <c r="CF75" s="268"/>
      <c r="CG75" s="457"/>
      <c r="CH75" s="457"/>
      <c r="CI75" s="457"/>
      <c r="CJ75" s="457"/>
      <c r="CK75" s="457"/>
      <c r="CL75" s="457"/>
      <c r="CM75" s="457"/>
      <c r="CN75" s="457"/>
      <c r="CO75" s="457"/>
      <c r="CP75" s="457"/>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c r="EO75" s="244"/>
      <c r="EP75" s="244"/>
      <c r="EQ75" s="244"/>
      <c r="ER75" s="244"/>
      <c r="ES75" s="244"/>
      <c r="ET75" s="244"/>
      <c r="EU75" s="244"/>
      <c r="EV75" s="244"/>
      <c r="EW75" s="244"/>
      <c r="EX75" s="244"/>
      <c r="EY75" s="244"/>
      <c r="EZ75" s="244"/>
      <c r="FA75" s="244"/>
      <c r="FB75" s="244"/>
      <c r="FC75" s="244"/>
      <c r="FD75" s="244"/>
      <c r="FE75" s="244"/>
      <c r="FF75" s="244"/>
      <c r="FG75" s="244"/>
      <c r="FH75" s="244"/>
      <c r="FI75" s="244"/>
      <c r="FJ75" s="244"/>
      <c r="FK75" s="244"/>
      <c r="FL75" s="244"/>
      <c r="FM75" s="244"/>
      <c r="FN75" s="244"/>
      <c r="FO75" s="244"/>
      <c r="FP75" s="244"/>
      <c r="FQ75" s="244"/>
      <c r="FR75" s="244"/>
      <c r="FS75" s="244"/>
      <c r="FT75" s="244"/>
      <c r="FU75" s="244"/>
      <c r="FV75" s="244"/>
      <c r="FW75" s="244"/>
      <c r="FX75" s="244"/>
      <c r="FY75" s="244"/>
      <c r="FZ75" s="244"/>
      <c r="GA75" s="244"/>
      <c r="GB75" s="244"/>
      <c r="GC75" s="244"/>
      <c r="GD75" s="244"/>
      <c r="GE75" s="244"/>
      <c r="GF75" s="244"/>
      <c r="GG75" s="244"/>
      <c r="GH75" s="244"/>
      <c r="GI75" s="244"/>
      <c r="GJ75" s="244"/>
      <c r="GK75" s="244"/>
      <c r="GL75" s="244"/>
      <c r="GM75" s="244"/>
      <c r="GN75" s="244"/>
      <c r="GO75" s="244"/>
      <c r="GP75" s="244"/>
      <c r="GQ75" s="244"/>
      <c r="GR75" s="244"/>
      <c r="GS75" s="244"/>
      <c r="GT75" s="244"/>
      <c r="GU75" s="244"/>
      <c r="GV75" s="244"/>
      <c r="GW75" s="244"/>
      <c r="GX75" s="244"/>
      <c r="GY75" s="244"/>
      <c r="GZ75" s="244"/>
      <c r="HA75" s="244"/>
      <c r="HB75" s="244"/>
      <c r="HC75" s="244"/>
      <c r="HD75" s="244"/>
      <c r="HE75" s="244"/>
      <c r="HF75" s="244"/>
      <c r="HG75" s="244"/>
      <c r="HH75" s="244"/>
      <c r="HI75" s="244"/>
      <c r="HJ75" s="244"/>
      <c r="HK75" s="244"/>
      <c r="HL75" s="244"/>
      <c r="HM75" s="244"/>
      <c r="HN75" s="244"/>
      <c r="HO75" s="244"/>
      <c r="HP75" s="244"/>
      <c r="HQ75" s="244"/>
      <c r="HR75" s="244"/>
      <c r="HS75" s="244"/>
      <c r="HT75" s="244"/>
      <c r="HU75" s="244"/>
      <c r="HV75" s="244"/>
      <c r="HW75" s="244"/>
      <c r="HX75" s="244"/>
      <c r="HY75" s="244"/>
      <c r="HZ75" s="244"/>
      <c r="IA75" s="244"/>
      <c r="IB75" s="244"/>
      <c r="IC75" s="244"/>
      <c r="ID75" s="244"/>
      <c r="IE75" s="244"/>
      <c r="IF75" s="244"/>
      <c r="IG75" s="244"/>
      <c r="IH75" s="244"/>
      <c r="II75" s="244"/>
      <c r="IJ75" s="244"/>
      <c r="IK75" s="244"/>
      <c r="IL75" s="244"/>
      <c r="IM75" s="244"/>
      <c r="IN75" s="244"/>
      <c r="IO75" s="244"/>
      <c r="IP75" s="244"/>
      <c r="IQ75" s="244"/>
      <c r="IR75" s="244"/>
      <c r="IS75" s="244"/>
      <c r="IT75" s="244"/>
      <c r="IU75" s="244"/>
      <c r="IV75" s="244"/>
      <c r="IW75" s="244"/>
      <c r="IX75" s="244"/>
    </row>
    <row r="76" spans="1:258" x14ac:dyDescent="0.2">
      <c r="A76" s="237" t="s">
        <v>210</v>
      </c>
      <c r="B76" s="103"/>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9"/>
      <c r="AD76" s="29"/>
      <c r="AE76" s="29"/>
      <c r="AF76" s="29"/>
      <c r="AG76" s="29"/>
      <c r="AH76" s="29"/>
      <c r="AI76" s="29"/>
      <c r="AJ76" s="28"/>
      <c r="AK76" s="7"/>
      <c r="AL76" s="28"/>
      <c r="AM76" s="29"/>
      <c r="AN76" s="28"/>
      <c r="AO76" s="28"/>
      <c r="AP76" s="28"/>
      <c r="AQ76" s="28"/>
      <c r="AR76" s="28"/>
      <c r="AS76" s="7"/>
      <c r="AT76" s="29"/>
      <c r="AU76" s="29"/>
      <c r="AV76" s="28"/>
      <c r="AW76" s="28"/>
      <c r="AX76" s="28"/>
      <c r="AY76" s="28"/>
      <c r="AZ76" s="28"/>
      <c r="BA76" s="28"/>
      <c r="BB76" s="28"/>
      <c r="BC76" s="28"/>
      <c r="BD76" s="28"/>
      <c r="BE76" s="28"/>
      <c r="BF76" s="28"/>
      <c r="BG76" s="28"/>
      <c r="BH76" s="28"/>
      <c r="BI76" s="29"/>
      <c r="BJ76" s="28"/>
      <c r="BK76" s="28"/>
      <c r="BL76" s="28"/>
      <c r="BM76" s="28"/>
      <c r="BN76" s="28"/>
      <c r="BO76" s="28"/>
      <c r="BP76" s="7"/>
      <c r="BQ76" s="28"/>
      <c r="BR76" s="7"/>
      <c r="BS76" s="28"/>
      <c r="BT76" s="28"/>
      <c r="BU76" s="28"/>
      <c r="BV76" s="28"/>
      <c r="BW76" s="29"/>
      <c r="BX76" s="29"/>
      <c r="BY76" s="29"/>
      <c r="BZ76" s="28"/>
      <c r="CA76" s="28"/>
      <c r="CB76" s="28"/>
      <c r="CC76" s="291"/>
      <c r="CD76" s="291"/>
      <c r="CE76" s="291"/>
      <c r="CF76" s="268"/>
      <c r="CH76" s="457"/>
      <c r="CI76" s="457"/>
      <c r="CJ76" s="457"/>
      <c r="CK76" s="457"/>
      <c r="CL76" s="457"/>
      <c r="CM76" s="457"/>
      <c r="CN76" s="457"/>
      <c r="CO76" s="457"/>
      <c r="CP76" s="457"/>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c r="EJ76" s="244"/>
      <c r="EK76" s="244"/>
      <c r="EL76" s="244"/>
      <c r="EM76" s="244"/>
      <c r="EN76" s="244"/>
      <c r="EO76" s="244"/>
      <c r="EP76" s="244"/>
      <c r="EQ76" s="244"/>
      <c r="ER76" s="244"/>
      <c r="ES76" s="244"/>
      <c r="ET76" s="244"/>
      <c r="EU76" s="244"/>
      <c r="EV76" s="244"/>
      <c r="EW76" s="244"/>
      <c r="EX76" s="244"/>
      <c r="EY76" s="244"/>
      <c r="EZ76" s="244"/>
      <c r="FA76" s="244"/>
      <c r="FB76" s="244"/>
      <c r="FC76" s="244"/>
      <c r="FD76" s="244"/>
      <c r="FE76" s="244"/>
      <c r="FF76" s="244"/>
      <c r="FG76" s="244"/>
      <c r="FH76" s="244"/>
      <c r="FI76" s="244"/>
      <c r="FJ76" s="244"/>
      <c r="FK76" s="244"/>
      <c r="FL76" s="244"/>
      <c r="FM76" s="244"/>
      <c r="FN76" s="244"/>
      <c r="FO76" s="244"/>
      <c r="FP76" s="244"/>
      <c r="FQ76" s="244"/>
      <c r="FR76" s="244"/>
      <c r="FS76" s="244"/>
      <c r="FT76" s="244"/>
      <c r="FU76" s="244"/>
      <c r="FV76" s="244"/>
      <c r="FW76" s="244"/>
      <c r="FX76" s="244"/>
      <c r="FY76" s="244"/>
      <c r="FZ76" s="244"/>
      <c r="GA76" s="244"/>
      <c r="GB76" s="244"/>
      <c r="GC76" s="244"/>
      <c r="GD76" s="244"/>
      <c r="GE76" s="244"/>
      <c r="GF76" s="244"/>
      <c r="GG76" s="244"/>
      <c r="GH76" s="244"/>
      <c r="GI76" s="244"/>
      <c r="GJ76" s="244"/>
      <c r="GK76" s="244"/>
      <c r="GL76" s="244"/>
      <c r="GM76" s="244"/>
      <c r="GN76" s="244"/>
      <c r="GO76" s="244"/>
      <c r="GP76" s="244"/>
      <c r="GQ76" s="244"/>
      <c r="GR76" s="244"/>
      <c r="GS76" s="244"/>
      <c r="GT76" s="244"/>
      <c r="GU76" s="244"/>
      <c r="GV76" s="244"/>
      <c r="GW76" s="244"/>
      <c r="GX76" s="244"/>
      <c r="GY76" s="244"/>
      <c r="GZ76" s="244"/>
      <c r="HA76" s="244"/>
      <c r="HB76" s="244"/>
      <c r="HC76" s="244"/>
      <c r="HD76" s="244"/>
      <c r="HE76" s="244"/>
      <c r="HF76" s="244"/>
      <c r="HG76" s="244"/>
      <c r="HH76" s="244"/>
      <c r="HI76" s="244"/>
      <c r="HJ76" s="244"/>
      <c r="HK76" s="244"/>
      <c r="HL76" s="244"/>
      <c r="HM76" s="244"/>
      <c r="HN76" s="244"/>
      <c r="HO76" s="244"/>
      <c r="HP76" s="244"/>
      <c r="HQ76" s="244"/>
      <c r="HR76" s="244"/>
      <c r="HS76" s="244"/>
      <c r="HT76" s="244"/>
      <c r="HU76" s="244"/>
      <c r="HV76" s="244"/>
      <c r="HW76" s="244"/>
      <c r="HX76" s="244"/>
      <c r="HY76" s="244"/>
      <c r="HZ76" s="244"/>
      <c r="IA76" s="244"/>
      <c r="IB76" s="244"/>
      <c r="IC76" s="244"/>
      <c r="ID76" s="244"/>
      <c r="IE76" s="244"/>
      <c r="IF76" s="244"/>
      <c r="IG76" s="244"/>
      <c r="IH76" s="244"/>
      <c r="II76" s="244"/>
      <c r="IJ76" s="244"/>
      <c r="IK76" s="244"/>
      <c r="IL76" s="244"/>
      <c r="IM76" s="244"/>
      <c r="IN76" s="244"/>
      <c r="IO76" s="244"/>
      <c r="IP76" s="244"/>
      <c r="IQ76" s="244"/>
      <c r="IR76" s="244"/>
      <c r="IS76" s="244"/>
      <c r="IT76" s="244"/>
      <c r="IU76" s="244"/>
      <c r="IV76" s="244"/>
      <c r="IW76" s="244"/>
      <c r="IX76" s="244"/>
    </row>
    <row r="77" spans="1:258" x14ac:dyDescent="0.2">
      <c r="A77" s="35" t="s">
        <v>168</v>
      </c>
      <c r="B77" s="103"/>
      <c r="C77" s="40" t="s">
        <v>50</v>
      </c>
      <c r="D77" s="37" t="s">
        <v>50</v>
      </c>
      <c r="E77" s="37" t="s">
        <v>50</v>
      </c>
      <c r="F77" s="37" t="s">
        <v>50</v>
      </c>
      <c r="G77" s="37" t="s">
        <v>50</v>
      </c>
      <c r="H77" s="37" t="s">
        <v>50</v>
      </c>
      <c r="I77" s="37" t="s">
        <v>50</v>
      </c>
      <c r="J77" s="37" t="s">
        <v>50</v>
      </c>
      <c r="K77" s="37" t="s">
        <v>50</v>
      </c>
      <c r="L77" s="37" t="s">
        <v>50</v>
      </c>
      <c r="M77" s="37" t="s">
        <v>50</v>
      </c>
      <c r="N77" s="37" t="s">
        <v>50</v>
      </c>
      <c r="O77" s="37" t="s">
        <v>50</v>
      </c>
      <c r="P77" s="37" t="s">
        <v>50</v>
      </c>
      <c r="Q77" s="37" t="s">
        <v>50</v>
      </c>
      <c r="R77" s="37" t="s">
        <v>50</v>
      </c>
      <c r="S77" s="37" t="s">
        <v>50</v>
      </c>
      <c r="T77" s="37" t="s">
        <v>50</v>
      </c>
      <c r="U77" s="37" t="s">
        <v>50</v>
      </c>
      <c r="V77" s="37" t="s">
        <v>50</v>
      </c>
      <c r="W77" s="37" t="s">
        <v>50</v>
      </c>
      <c r="X77" s="37" t="s">
        <v>50</v>
      </c>
      <c r="Y77" s="37" t="s">
        <v>50</v>
      </c>
      <c r="Z77" s="37" t="s">
        <v>50</v>
      </c>
      <c r="AA77" s="37" t="s">
        <v>50</v>
      </c>
      <c r="AB77" s="37" t="s">
        <v>50</v>
      </c>
      <c r="AC77" s="37" t="s">
        <v>50</v>
      </c>
      <c r="AD77" s="37" t="s">
        <v>50</v>
      </c>
      <c r="AE77" s="37" t="s">
        <v>50</v>
      </c>
      <c r="AF77" s="37" t="s">
        <v>50</v>
      </c>
      <c r="AG77" s="37" t="s">
        <v>50</v>
      </c>
      <c r="AH77" s="37" t="s">
        <v>50</v>
      </c>
      <c r="AI77" s="37" t="s">
        <v>50</v>
      </c>
      <c r="AJ77" s="37" t="s">
        <v>50</v>
      </c>
      <c r="AK77" s="37" t="s">
        <v>50</v>
      </c>
      <c r="AL77" s="37" t="s">
        <v>50</v>
      </c>
      <c r="AM77" s="37" t="s">
        <v>50</v>
      </c>
      <c r="AN77" s="37" t="s">
        <v>50</v>
      </c>
      <c r="AO77" s="37" t="s">
        <v>50</v>
      </c>
      <c r="AP77" s="37" t="s">
        <v>50</v>
      </c>
      <c r="AQ77" s="37" t="s">
        <v>50</v>
      </c>
      <c r="AR77" s="37" t="s">
        <v>50</v>
      </c>
      <c r="AS77" s="37" t="s">
        <v>50</v>
      </c>
      <c r="AT77" s="37" t="s">
        <v>50</v>
      </c>
      <c r="AU77" s="37" t="s">
        <v>50</v>
      </c>
      <c r="AV77" s="37" t="s">
        <v>50</v>
      </c>
      <c r="AW77" s="37" t="s">
        <v>50</v>
      </c>
      <c r="AX77" s="37" t="s">
        <v>50</v>
      </c>
      <c r="AY77" s="37" t="s">
        <v>50</v>
      </c>
      <c r="AZ77" s="37" t="s">
        <v>50</v>
      </c>
      <c r="BA77" s="37" t="s">
        <v>50</v>
      </c>
      <c r="BB77" s="37" t="s">
        <v>50</v>
      </c>
      <c r="BC77" s="37" t="s">
        <v>50</v>
      </c>
      <c r="BD77" s="37" t="s">
        <v>50</v>
      </c>
      <c r="BE77" s="37" t="s">
        <v>50</v>
      </c>
      <c r="BF77" s="37" t="s">
        <v>50</v>
      </c>
      <c r="BG77" s="37">
        <v>7939.7</v>
      </c>
      <c r="BH77" s="37">
        <v>4022</v>
      </c>
      <c r="BI77" s="39">
        <v>4154</v>
      </c>
      <c r="BJ77" s="37">
        <v>4123</v>
      </c>
      <c r="BK77" s="37">
        <v>4525</v>
      </c>
      <c r="BL77" s="37">
        <v>4958.2</v>
      </c>
      <c r="BM77" s="37">
        <v>5102</v>
      </c>
      <c r="BN77" s="37">
        <v>5457.9830662599989</v>
      </c>
      <c r="BO77" s="37">
        <v>7910.481252979991</v>
      </c>
      <c r="BP77" s="39">
        <v>7206.4285610899933</v>
      </c>
      <c r="BQ77" s="37">
        <v>5353.7595602800056</v>
      </c>
      <c r="BR77" s="39">
        <v>6601.4229058099918</v>
      </c>
      <c r="BS77" s="37">
        <v>7073.0152325099989</v>
      </c>
      <c r="BT77" s="37">
        <v>5121.0328322200148</v>
      </c>
      <c r="BU77" s="37">
        <v>7179.5046112499977</v>
      </c>
      <c r="BV77" s="37">
        <v>6881.4409721222519</v>
      </c>
      <c r="BW77" s="38">
        <v>7298.7897590299926</v>
      </c>
      <c r="BX77" s="38">
        <v>7188.4541603099879</v>
      </c>
      <c r="BY77" s="38">
        <v>8627.7539306400067</v>
      </c>
      <c r="BZ77" s="37">
        <v>7966.8103195600088</v>
      </c>
      <c r="CA77" s="37">
        <v>19331.539346580033</v>
      </c>
      <c r="CB77" s="37">
        <v>13061.571032170006</v>
      </c>
      <c r="CC77" s="37">
        <v>13747.495642960017</v>
      </c>
      <c r="CD77" s="37">
        <v>17513.917525590001</v>
      </c>
      <c r="CE77" s="37">
        <v>28517.78427321999</v>
      </c>
      <c r="CF77" s="326">
        <v>18113.585649739976</v>
      </c>
      <c r="CH77" s="457"/>
      <c r="CI77" s="457"/>
      <c r="CJ77" s="457"/>
      <c r="CK77" s="457"/>
      <c r="CL77" s="457"/>
      <c r="CM77" s="457"/>
      <c r="CN77" s="457"/>
      <c r="CO77" s="457"/>
      <c r="CP77" s="457"/>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44"/>
      <c r="FV77" s="244"/>
      <c r="FW77" s="244"/>
      <c r="FX77" s="244"/>
      <c r="FY77" s="244"/>
      <c r="FZ77" s="244"/>
      <c r="GA77" s="244"/>
      <c r="GB77" s="244"/>
      <c r="GC77" s="244"/>
      <c r="GD77" s="244"/>
      <c r="GE77" s="244"/>
      <c r="GF77" s="244"/>
      <c r="GG77" s="244"/>
      <c r="GH77" s="244"/>
      <c r="GI77" s="244"/>
      <c r="GJ77" s="244"/>
      <c r="GK77" s="244"/>
      <c r="GL77" s="244"/>
      <c r="GM77" s="244"/>
      <c r="GN77" s="244"/>
      <c r="GO77" s="244"/>
      <c r="GP77" s="244"/>
      <c r="GQ77" s="244"/>
      <c r="GR77" s="244"/>
      <c r="GS77" s="244"/>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4"/>
      <c r="HZ77" s="244"/>
      <c r="IA77" s="244"/>
      <c r="IB77" s="244"/>
      <c r="IC77" s="244"/>
      <c r="ID77" s="244"/>
      <c r="IE77" s="244"/>
      <c r="IF77" s="244"/>
      <c r="IG77" s="244"/>
      <c r="IH77" s="244"/>
      <c r="II77" s="244"/>
      <c r="IJ77" s="244"/>
      <c r="IK77" s="244"/>
      <c r="IL77" s="244"/>
      <c r="IM77" s="244"/>
      <c r="IN77" s="244"/>
      <c r="IO77" s="244"/>
      <c r="IP77" s="244"/>
      <c r="IQ77" s="244"/>
      <c r="IR77" s="244"/>
      <c r="IS77" s="244"/>
      <c r="IT77" s="244"/>
      <c r="IU77" s="244"/>
      <c r="IV77" s="244"/>
      <c r="IW77" s="244"/>
      <c r="IX77" s="244"/>
    </row>
    <row r="78" spans="1:258" x14ac:dyDescent="0.2">
      <c r="A78" s="43" t="s">
        <v>169</v>
      </c>
      <c r="B78" s="103"/>
      <c r="C78" s="48" t="s">
        <v>50</v>
      </c>
      <c r="D78" s="45" t="s">
        <v>50</v>
      </c>
      <c r="E78" s="45" t="s">
        <v>50</v>
      </c>
      <c r="F78" s="45" t="s">
        <v>50</v>
      </c>
      <c r="G78" s="45" t="s">
        <v>50</v>
      </c>
      <c r="H78" s="45" t="s">
        <v>50</v>
      </c>
      <c r="I78" s="45" t="s">
        <v>50</v>
      </c>
      <c r="J78" s="45" t="s">
        <v>50</v>
      </c>
      <c r="K78" s="45" t="s">
        <v>50</v>
      </c>
      <c r="L78" s="45" t="s">
        <v>50</v>
      </c>
      <c r="M78" s="45" t="s">
        <v>50</v>
      </c>
      <c r="N78" s="45" t="s">
        <v>50</v>
      </c>
      <c r="O78" s="45" t="s">
        <v>50</v>
      </c>
      <c r="P78" s="45" t="s">
        <v>50</v>
      </c>
      <c r="Q78" s="45" t="s">
        <v>50</v>
      </c>
      <c r="R78" s="45" t="s">
        <v>50</v>
      </c>
      <c r="S78" s="45" t="s">
        <v>50</v>
      </c>
      <c r="T78" s="45" t="s">
        <v>50</v>
      </c>
      <c r="U78" s="45" t="s">
        <v>50</v>
      </c>
      <c r="V78" s="45" t="s">
        <v>50</v>
      </c>
      <c r="W78" s="45" t="s">
        <v>50</v>
      </c>
      <c r="X78" s="45" t="s">
        <v>50</v>
      </c>
      <c r="Y78" s="45" t="s">
        <v>50</v>
      </c>
      <c r="Z78" s="45" t="s">
        <v>50</v>
      </c>
      <c r="AA78" s="45" t="s">
        <v>50</v>
      </c>
      <c r="AB78" s="45" t="s">
        <v>50</v>
      </c>
      <c r="AC78" s="45" t="s">
        <v>50</v>
      </c>
      <c r="AD78" s="45" t="s">
        <v>50</v>
      </c>
      <c r="AE78" s="45" t="s">
        <v>50</v>
      </c>
      <c r="AF78" s="45" t="s">
        <v>50</v>
      </c>
      <c r="AG78" s="45" t="s">
        <v>50</v>
      </c>
      <c r="AH78" s="45" t="s">
        <v>50</v>
      </c>
      <c r="AI78" s="45" t="s">
        <v>50</v>
      </c>
      <c r="AJ78" s="45" t="s">
        <v>50</v>
      </c>
      <c r="AK78" s="45" t="s">
        <v>50</v>
      </c>
      <c r="AL78" s="45" t="s">
        <v>50</v>
      </c>
      <c r="AM78" s="45" t="s">
        <v>50</v>
      </c>
      <c r="AN78" s="45" t="s">
        <v>50</v>
      </c>
      <c r="AO78" s="45" t="s">
        <v>50</v>
      </c>
      <c r="AP78" s="45" t="s">
        <v>50</v>
      </c>
      <c r="AQ78" s="45" t="s">
        <v>50</v>
      </c>
      <c r="AR78" s="45" t="s">
        <v>50</v>
      </c>
      <c r="AS78" s="45" t="s">
        <v>50</v>
      </c>
      <c r="AT78" s="45" t="s">
        <v>50</v>
      </c>
      <c r="AU78" s="45" t="s">
        <v>50</v>
      </c>
      <c r="AV78" s="45" t="s">
        <v>50</v>
      </c>
      <c r="AW78" s="45" t="s">
        <v>50</v>
      </c>
      <c r="AX78" s="45" t="s">
        <v>50</v>
      </c>
      <c r="AY78" s="45" t="s">
        <v>50</v>
      </c>
      <c r="AZ78" s="45" t="s">
        <v>50</v>
      </c>
      <c r="BA78" s="45" t="s">
        <v>50</v>
      </c>
      <c r="BB78" s="45" t="s">
        <v>50</v>
      </c>
      <c r="BC78" s="45" t="s">
        <v>50</v>
      </c>
      <c r="BD78" s="45" t="s">
        <v>50</v>
      </c>
      <c r="BE78" s="45" t="s">
        <v>50</v>
      </c>
      <c r="BF78" s="45" t="s">
        <v>50</v>
      </c>
      <c r="BG78" s="45">
        <v>1945.3</v>
      </c>
      <c r="BH78" s="45">
        <v>324</v>
      </c>
      <c r="BI78" s="47">
        <v>694</v>
      </c>
      <c r="BJ78" s="45">
        <v>1359</v>
      </c>
      <c r="BK78" s="45">
        <v>322</v>
      </c>
      <c r="BL78" s="45">
        <v>4344.8</v>
      </c>
      <c r="BM78" s="45">
        <v>743</v>
      </c>
      <c r="BN78" s="45">
        <v>617.70146507999539</v>
      </c>
      <c r="BO78" s="45">
        <v>591.90536028000236</v>
      </c>
      <c r="BP78" s="47">
        <v>975.15754036999829</v>
      </c>
      <c r="BQ78" s="45">
        <v>379.1225933300023</v>
      </c>
      <c r="BR78" s="47">
        <v>-2880.7412556099889</v>
      </c>
      <c r="BS78" s="45">
        <v>727.7579353399982</v>
      </c>
      <c r="BT78" s="45">
        <v>-289.48889455001068</v>
      </c>
      <c r="BU78" s="45">
        <v>766.06802648000121</v>
      </c>
      <c r="BV78" s="45">
        <v>-478.94586431000141</v>
      </c>
      <c r="BW78" s="46">
        <v>271.91807034000215</v>
      </c>
      <c r="BX78" s="46">
        <v>1094.6512279400024</v>
      </c>
      <c r="BY78" s="46">
        <v>1285.1164688700082</v>
      </c>
      <c r="BZ78" s="45">
        <v>-948.38430529999778</v>
      </c>
      <c r="CA78" s="45">
        <v>2505.4537160399723</v>
      </c>
      <c r="CB78" s="45">
        <v>6229.9764997300026</v>
      </c>
      <c r="CC78" s="293">
        <v>2130.4960298799824</v>
      </c>
      <c r="CD78" s="293">
        <v>1177.1605823500099</v>
      </c>
      <c r="CE78" s="293">
        <v>1846.9344080899828</v>
      </c>
      <c r="CF78" s="327">
        <v>4795.5980384900013</v>
      </c>
      <c r="CH78" s="457"/>
      <c r="CI78" s="457"/>
      <c r="CJ78" s="457"/>
      <c r="CK78" s="457"/>
      <c r="CL78" s="457"/>
      <c r="CM78" s="457"/>
      <c r="CN78" s="457"/>
      <c r="CO78" s="457"/>
      <c r="CP78" s="457"/>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c r="FF78" s="244"/>
      <c r="FG78" s="244"/>
      <c r="FH78" s="244"/>
      <c r="FI78" s="244"/>
      <c r="FJ78" s="244"/>
      <c r="FK78" s="244"/>
      <c r="FL78" s="244"/>
      <c r="FM78" s="244"/>
      <c r="FN78" s="244"/>
      <c r="FO78" s="244"/>
      <c r="FP78" s="244"/>
      <c r="FQ78" s="244"/>
      <c r="FR78" s="244"/>
      <c r="FS78" s="244"/>
      <c r="FT78" s="244"/>
      <c r="FU78" s="244"/>
      <c r="FV78" s="244"/>
      <c r="FW78" s="244"/>
      <c r="FX78" s="244"/>
      <c r="FY78" s="244"/>
      <c r="FZ78" s="244"/>
      <c r="GA78" s="244"/>
      <c r="GB78" s="244"/>
      <c r="GC78" s="244"/>
      <c r="GD78" s="244"/>
      <c r="GE78" s="244"/>
      <c r="GF78" s="244"/>
      <c r="GG78" s="244"/>
      <c r="GH78" s="244"/>
      <c r="GI78" s="244"/>
      <c r="GJ78" s="244"/>
      <c r="GK78" s="244"/>
      <c r="GL78" s="244"/>
      <c r="GM78" s="244"/>
      <c r="GN78" s="244"/>
      <c r="GO78" s="244"/>
      <c r="GP78" s="244"/>
      <c r="GQ78" s="244"/>
      <c r="GR78" s="244"/>
      <c r="GS78" s="244"/>
      <c r="GT78" s="244"/>
      <c r="GU78" s="244"/>
      <c r="GV78" s="244"/>
      <c r="GW78" s="244"/>
      <c r="GX78" s="244"/>
      <c r="GY78" s="244"/>
      <c r="GZ78" s="244"/>
      <c r="HA78" s="244"/>
      <c r="HB78" s="244"/>
      <c r="HC78" s="244"/>
      <c r="HD78" s="244"/>
      <c r="HE78" s="244"/>
      <c r="HF78" s="244"/>
      <c r="HG78" s="244"/>
      <c r="HH78" s="244"/>
      <c r="HI78" s="244"/>
      <c r="HJ78" s="244"/>
      <c r="HK78" s="244"/>
      <c r="HL78" s="244"/>
      <c r="HM78" s="244"/>
      <c r="HN78" s="244"/>
      <c r="HO78" s="244"/>
      <c r="HP78" s="244"/>
      <c r="HQ78" s="244"/>
      <c r="HR78" s="244"/>
      <c r="HS78" s="244"/>
      <c r="HT78" s="244"/>
      <c r="HU78" s="244"/>
      <c r="HV78" s="244"/>
      <c r="HW78" s="244"/>
      <c r="HX78" s="244"/>
      <c r="HY78" s="244"/>
      <c r="HZ78" s="244"/>
      <c r="IA78" s="244"/>
      <c r="IB78" s="244"/>
      <c r="IC78" s="244"/>
      <c r="ID78" s="244"/>
      <c r="IE78" s="244"/>
      <c r="IF78" s="244"/>
      <c r="IG78" s="244"/>
      <c r="IH78" s="244"/>
      <c r="II78" s="244"/>
      <c r="IJ78" s="244"/>
      <c r="IK78" s="244"/>
      <c r="IL78" s="244"/>
      <c r="IM78" s="244"/>
      <c r="IN78" s="244"/>
      <c r="IO78" s="244"/>
      <c r="IP78" s="244"/>
      <c r="IQ78" s="244"/>
      <c r="IR78" s="244"/>
      <c r="IS78" s="244"/>
      <c r="IT78" s="244"/>
      <c r="IU78" s="244"/>
      <c r="IV78" s="244"/>
      <c r="IW78" s="244"/>
      <c r="IX78" s="244"/>
    </row>
    <row r="79" spans="1:258" x14ac:dyDescent="0.2">
      <c r="A79" s="43" t="s">
        <v>170</v>
      </c>
      <c r="B79" s="103"/>
      <c r="C79" s="48" t="s">
        <v>50</v>
      </c>
      <c r="D79" s="45" t="s">
        <v>50</v>
      </c>
      <c r="E79" s="45" t="s">
        <v>50</v>
      </c>
      <c r="F79" s="45" t="s">
        <v>50</v>
      </c>
      <c r="G79" s="45" t="s">
        <v>50</v>
      </c>
      <c r="H79" s="45" t="s">
        <v>50</v>
      </c>
      <c r="I79" s="45" t="s">
        <v>50</v>
      </c>
      <c r="J79" s="45" t="s">
        <v>50</v>
      </c>
      <c r="K79" s="45" t="s">
        <v>50</v>
      </c>
      <c r="L79" s="45" t="s">
        <v>50</v>
      </c>
      <c r="M79" s="45" t="s">
        <v>50</v>
      </c>
      <c r="N79" s="45" t="s">
        <v>50</v>
      </c>
      <c r="O79" s="45" t="s">
        <v>50</v>
      </c>
      <c r="P79" s="45" t="s">
        <v>50</v>
      </c>
      <c r="Q79" s="45" t="s">
        <v>50</v>
      </c>
      <c r="R79" s="45" t="s">
        <v>50</v>
      </c>
      <c r="S79" s="45" t="s">
        <v>50</v>
      </c>
      <c r="T79" s="45" t="s">
        <v>50</v>
      </c>
      <c r="U79" s="45" t="s">
        <v>50</v>
      </c>
      <c r="V79" s="45" t="s">
        <v>50</v>
      </c>
      <c r="W79" s="45" t="s">
        <v>50</v>
      </c>
      <c r="X79" s="45" t="s">
        <v>50</v>
      </c>
      <c r="Y79" s="45" t="s">
        <v>50</v>
      </c>
      <c r="Z79" s="45" t="s">
        <v>50</v>
      </c>
      <c r="AA79" s="45" t="s">
        <v>50</v>
      </c>
      <c r="AB79" s="45" t="s">
        <v>50</v>
      </c>
      <c r="AC79" s="45" t="s">
        <v>50</v>
      </c>
      <c r="AD79" s="45" t="s">
        <v>50</v>
      </c>
      <c r="AE79" s="45" t="s">
        <v>50</v>
      </c>
      <c r="AF79" s="45" t="s">
        <v>50</v>
      </c>
      <c r="AG79" s="45" t="s">
        <v>50</v>
      </c>
      <c r="AH79" s="45" t="s">
        <v>50</v>
      </c>
      <c r="AI79" s="45" t="s">
        <v>50</v>
      </c>
      <c r="AJ79" s="45" t="s">
        <v>50</v>
      </c>
      <c r="AK79" s="45" t="s">
        <v>50</v>
      </c>
      <c r="AL79" s="45" t="s">
        <v>50</v>
      </c>
      <c r="AM79" s="45" t="s">
        <v>50</v>
      </c>
      <c r="AN79" s="45" t="s">
        <v>50</v>
      </c>
      <c r="AO79" s="45" t="s">
        <v>50</v>
      </c>
      <c r="AP79" s="45" t="s">
        <v>50</v>
      </c>
      <c r="AQ79" s="45" t="s">
        <v>50</v>
      </c>
      <c r="AR79" s="45" t="s">
        <v>50</v>
      </c>
      <c r="AS79" s="45" t="s">
        <v>50</v>
      </c>
      <c r="AT79" s="45" t="s">
        <v>50</v>
      </c>
      <c r="AU79" s="45" t="s">
        <v>50</v>
      </c>
      <c r="AV79" s="45" t="s">
        <v>50</v>
      </c>
      <c r="AW79" s="45" t="s">
        <v>50</v>
      </c>
      <c r="AX79" s="45" t="s">
        <v>50</v>
      </c>
      <c r="AY79" s="45" t="s">
        <v>50</v>
      </c>
      <c r="AZ79" s="45" t="s">
        <v>50</v>
      </c>
      <c r="BA79" s="45" t="s">
        <v>50</v>
      </c>
      <c r="BB79" s="45" t="s">
        <v>50</v>
      </c>
      <c r="BC79" s="45" t="s">
        <v>50</v>
      </c>
      <c r="BD79" s="45" t="s">
        <v>50</v>
      </c>
      <c r="BE79" s="45" t="s">
        <v>50</v>
      </c>
      <c r="BF79" s="45" t="s">
        <v>50</v>
      </c>
      <c r="BG79" s="45">
        <v>133</v>
      </c>
      <c r="BH79" s="45">
        <v>26</v>
      </c>
      <c r="BI79" s="47">
        <v>160</v>
      </c>
      <c r="BJ79" s="45">
        <v>308</v>
      </c>
      <c r="BK79" s="45">
        <v>108</v>
      </c>
      <c r="BL79" s="45">
        <v>128</v>
      </c>
      <c r="BM79" s="45">
        <v>77</v>
      </c>
      <c r="BN79" s="45">
        <v>138.16671528000077</v>
      </c>
      <c r="BO79" s="45">
        <v>118.94651649000014</v>
      </c>
      <c r="BP79" s="47">
        <v>528.93706666000014</v>
      </c>
      <c r="BQ79" s="45">
        <v>166.42519941000012</v>
      </c>
      <c r="BR79" s="47">
        <v>-171.61604328000061</v>
      </c>
      <c r="BS79" s="45">
        <v>163.22551284999992</v>
      </c>
      <c r="BT79" s="45">
        <v>12.840283020000996</v>
      </c>
      <c r="BU79" s="45">
        <v>433.51136703000032</v>
      </c>
      <c r="BV79" s="45">
        <v>-39.550169870000076</v>
      </c>
      <c r="BW79" s="46">
        <v>-1.2842397299994133</v>
      </c>
      <c r="BX79" s="46">
        <v>-15.522343329999558</v>
      </c>
      <c r="BY79" s="46">
        <v>26.675938240000448</v>
      </c>
      <c r="BZ79" s="45">
        <v>-203.27792310999948</v>
      </c>
      <c r="CA79" s="45">
        <v>48.52343778999775</v>
      </c>
      <c r="CB79" s="45">
        <v>87.043512589999736</v>
      </c>
      <c r="CC79" s="293">
        <v>444.51828604000065</v>
      </c>
      <c r="CD79" s="293">
        <v>-18.602731850001199</v>
      </c>
      <c r="CE79" s="293">
        <v>180.09631457000171</v>
      </c>
      <c r="CF79" s="327">
        <v>34.612049869998991</v>
      </c>
      <c r="CH79" s="457"/>
      <c r="CI79" s="457"/>
      <c r="CJ79" s="457"/>
      <c r="CK79" s="457"/>
      <c r="CL79" s="457"/>
      <c r="CM79" s="457"/>
      <c r="CN79" s="457"/>
      <c r="CO79" s="457"/>
      <c r="CP79" s="457"/>
    </row>
    <row r="80" spans="1:258" s="425" customFormat="1" x14ac:dyDescent="0.2">
      <c r="A80" s="204" t="s">
        <v>211</v>
      </c>
      <c r="B80" s="205"/>
      <c r="C80" s="52" t="s">
        <v>35</v>
      </c>
      <c r="D80" s="52" t="s">
        <v>35</v>
      </c>
      <c r="E80" s="52" t="s">
        <v>35</v>
      </c>
      <c r="F80" s="52" t="s">
        <v>35</v>
      </c>
      <c r="G80" s="52" t="s">
        <v>35</v>
      </c>
      <c r="H80" s="52" t="s">
        <v>35</v>
      </c>
      <c r="I80" s="52" t="s">
        <v>35</v>
      </c>
      <c r="J80" s="52" t="s">
        <v>35</v>
      </c>
      <c r="K80" s="52">
        <v>362.56</v>
      </c>
      <c r="L80" s="52">
        <v>163.858</v>
      </c>
      <c r="M80" s="52">
        <v>467.76600000000002</v>
      </c>
      <c r="N80" s="52">
        <v>663.51800000000003</v>
      </c>
      <c r="O80" s="52">
        <v>1194.712</v>
      </c>
      <c r="P80" s="52">
        <v>548.32799999999997</v>
      </c>
      <c r="Q80" s="52">
        <v>356.17700000000002</v>
      </c>
      <c r="R80" s="52">
        <v>1195.723</v>
      </c>
      <c r="S80" s="52">
        <v>1541.278</v>
      </c>
      <c r="T80" s="52">
        <v>802.87300000000005</v>
      </c>
      <c r="U80" s="52">
        <v>1255.0429999999999</v>
      </c>
      <c r="V80" s="52">
        <v>2060.7420000000002</v>
      </c>
      <c r="W80" s="52">
        <v>2367.7689999999998</v>
      </c>
      <c r="X80" s="52">
        <v>1631.527</v>
      </c>
      <c r="Y80" s="52">
        <v>537.36599999999999</v>
      </c>
      <c r="Z80" s="52">
        <v>1495.5050000000001</v>
      </c>
      <c r="AA80" s="52">
        <v>1759.519</v>
      </c>
      <c r="AB80" s="52">
        <v>1084.5630000000001</v>
      </c>
      <c r="AC80" s="52">
        <v>1223.5999999999999</v>
      </c>
      <c r="AD80" s="52">
        <v>935.5</v>
      </c>
      <c r="AE80" s="52">
        <v>2789</v>
      </c>
      <c r="AF80" s="52">
        <v>1424</v>
      </c>
      <c r="AG80" s="52">
        <v>647</v>
      </c>
      <c r="AH80" s="52">
        <v>1901</v>
      </c>
      <c r="AI80" s="52">
        <v>1999</v>
      </c>
      <c r="AJ80" s="52">
        <v>2497</v>
      </c>
      <c r="AK80" s="52">
        <v>2883</v>
      </c>
      <c r="AL80" s="52">
        <v>2567</v>
      </c>
      <c r="AM80" s="52">
        <v>4421</v>
      </c>
      <c r="AN80" s="52">
        <v>2641</v>
      </c>
      <c r="AO80" s="52">
        <v>1370</v>
      </c>
      <c r="AP80" s="52">
        <v>1134</v>
      </c>
      <c r="AQ80" s="52">
        <v>4062</v>
      </c>
      <c r="AR80" s="52">
        <v>727</v>
      </c>
      <c r="AS80" s="52">
        <v>1548</v>
      </c>
      <c r="AT80" s="52">
        <v>121</v>
      </c>
      <c r="AU80" s="52">
        <v>1911</v>
      </c>
      <c r="AV80" s="52">
        <v>1075</v>
      </c>
      <c r="AW80" s="52">
        <v>971</v>
      </c>
      <c r="AX80" s="52">
        <v>1418</v>
      </c>
      <c r="AY80" s="52">
        <v>3287</v>
      </c>
      <c r="AZ80" s="52">
        <v>2861</v>
      </c>
      <c r="BA80" s="52">
        <v>2263</v>
      </c>
      <c r="BB80" s="52">
        <v>2487</v>
      </c>
      <c r="BC80" s="52">
        <v>5522</v>
      </c>
      <c r="BD80" s="52">
        <v>4040</v>
      </c>
      <c r="BE80" s="52">
        <v>4561</v>
      </c>
      <c r="BF80" s="52">
        <v>5939</v>
      </c>
      <c r="BG80" s="52">
        <v>10018</v>
      </c>
      <c r="BH80" s="52">
        <v>4372</v>
      </c>
      <c r="BI80" s="52">
        <v>5008</v>
      </c>
      <c r="BJ80" s="52">
        <v>5790</v>
      </c>
      <c r="BK80" s="52">
        <v>4955</v>
      </c>
      <c r="BL80" s="52">
        <v>9431</v>
      </c>
      <c r="BM80" s="52">
        <v>5922</v>
      </c>
      <c r="BN80" s="52">
        <v>6214</v>
      </c>
      <c r="BO80" s="52">
        <v>8621.3331297499935</v>
      </c>
      <c r="BP80" s="52">
        <v>8710.5231681199912</v>
      </c>
      <c r="BQ80" s="52">
        <v>5899.3073530200081</v>
      </c>
      <c r="BR80" s="52">
        <v>3549.0656069200027</v>
      </c>
      <c r="BS80" s="52">
        <v>7964</v>
      </c>
      <c r="BT80" s="52">
        <v>4844</v>
      </c>
      <c r="BU80" s="52">
        <v>8379.0840047599995</v>
      </c>
      <c r="BV80" s="52">
        <v>6362.9449379422513</v>
      </c>
      <c r="BW80" s="54">
        <v>7569.423589639995</v>
      </c>
      <c r="BX80" s="54">
        <v>8268</v>
      </c>
      <c r="BY80" s="54">
        <v>9939.5463377500146</v>
      </c>
      <c r="BZ80" s="52">
        <v>6815.1480911500112</v>
      </c>
      <c r="CA80" s="52">
        <v>21885.516500410002</v>
      </c>
      <c r="CB80" s="52">
        <v>19378.591044490007</v>
      </c>
      <c r="CC80" s="294">
        <v>16329.47645246</v>
      </c>
      <c r="CD80" s="294">
        <v>18672.475376089998</v>
      </c>
      <c r="CE80" s="294">
        <v>30544.814995879973</v>
      </c>
      <c r="CF80" s="328">
        <v>22943.795738099976</v>
      </c>
      <c r="CG80" s="453"/>
      <c r="CH80" s="457"/>
      <c r="CI80" s="457"/>
      <c r="CJ80" s="457"/>
      <c r="CK80" s="457"/>
      <c r="CL80" s="457"/>
      <c r="CM80" s="457"/>
      <c r="CN80" s="457"/>
      <c r="CO80" s="457"/>
      <c r="CP80" s="457"/>
      <c r="CS80" s="458"/>
    </row>
    <row r="81" spans="1:97" x14ac:dyDescent="0.2">
      <c r="A81" s="114"/>
      <c r="B81" s="115"/>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9"/>
      <c r="AD81" s="29"/>
      <c r="AE81" s="29"/>
      <c r="AF81" s="29"/>
      <c r="AG81" s="29"/>
      <c r="AH81" s="29"/>
      <c r="AI81" s="29"/>
      <c r="AJ81" s="28"/>
      <c r="AK81" s="7"/>
      <c r="AL81" s="28"/>
      <c r="AM81" s="29"/>
      <c r="AN81" s="28"/>
      <c r="AO81" s="28"/>
      <c r="AP81" s="28"/>
      <c r="AQ81" s="28"/>
      <c r="AR81" s="28"/>
      <c r="AS81" s="7"/>
      <c r="AT81" s="29"/>
      <c r="AU81" s="29"/>
      <c r="AV81" s="28"/>
      <c r="AW81" s="28"/>
      <c r="AX81" s="28"/>
      <c r="AY81" s="28"/>
      <c r="AZ81" s="28"/>
      <c r="BA81" s="28"/>
      <c r="BB81" s="28"/>
      <c r="BC81" s="28"/>
      <c r="BD81" s="28"/>
      <c r="BE81" s="28"/>
      <c r="BF81" s="28"/>
      <c r="BG81" s="28"/>
      <c r="BH81" s="28"/>
      <c r="BI81" s="29"/>
      <c r="BJ81" s="28"/>
      <c r="BK81" s="28"/>
      <c r="BL81" s="28"/>
      <c r="BM81" s="28"/>
      <c r="BN81" s="28"/>
      <c r="BO81" s="28"/>
      <c r="BP81" s="7"/>
      <c r="BQ81" s="28"/>
      <c r="BR81" s="28"/>
      <c r="BS81" s="28"/>
      <c r="BT81" s="28"/>
      <c r="BU81" s="28"/>
      <c r="BV81" s="28"/>
      <c r="BW81" s="29"/>
      <c r="BX81" s="29"/>
      <c r="BY81" s="29"/>
      <c r="BZ81" s="28"/>
      <c r="CA81" s="28"/>
      <c r="CB81" s="28"/>
      <c r="CC81" s="291"/>
      <c r="CD81" s="291"/>
      <c r="CE81" s="291"/>
      <c r="CF81" s="268"/>
      <c r="CH81" s="457"/>
      <c r="CI81" s="457"/>
      <c r="CJ81" s="457"/>
      <c r="CK81" s="457"/>
      <c r="CL81" s="457"/>
      <c r="CM81" s="457"/>
      <c r="CN81" s="457"/>
      <c r="CO81" s="457"/>
      <c r="CP81" s="457"/>
      <c r="CS81" s="469"/>
    </row>
    <row r="82" spans="1:97" x14ac:dyDescent="0.2">
      <c r="A82" s="237" t="s">
        <v>158</v>
      </c>
      <c r="B82" s="11"/>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9"/>
      <c r="AD82" s="29"/>
      <c r="AE82" s="29"/>
      <c r="AF82" s="29"/>
      <c r="AG82" s="29"/>
      <c r="AH82" s="29"/>
      <c r="AI82" s="29"/>
      <c r="AJ82" s="28"/>
      <c r="AK82" s="7"/>
      <c r="AL82" s="28"/>
      <c r="AM82" s="29"/>
      <c r="AN82" s="28"/>
      <c r="AO82" s="28"/>
      <c r="AP82" s="29"/>
      <c r="AQ82" s="28"/>
      <c r="AR82" s="28"/>
      <c r="AS82" s="28"/>
      <c r="AT82" s="28"/>
      <c r="AU82" s="29"/>
      <c r="AV82" s="29"/>
      <c r="AW82" s="29"/>
      <c r="AX82" s="29"/>
      <c r="AY82" s="28"/>
      <c r="AZ82" s="28"/>
      <c r="BA82" s="28"/>
      <c r="BB82" s="28"/>
      <c r="BC82" s="28"/>
      <c r="BD82" s="28"/>
      <c r="BE82" s="28"/>
      <c r="BF82" s="28"/>
      <c r="BG82" s="28"/>
      <c r="BH82" s="28"/>
      <c r="BI82" s="29"/>
      <c r="BJ82" s="28"/>
      <c r="BK82" s="28"/>
      <c r="BL82" s="28"/>
      <c r="BM82" s="28"/>
      <c r="BN82" s="28"/>
      <c r="BO82" s="28"/>
      <c r="BP82" s="7"/>
      <c r="BQ82" s="28"/>
      <c r="BR82" s="7"/>
      <c r="BS82" s="28"/>
      <c r="BT82" s="28"/>
      <c r="BU82" s="28"/>
      <c r="BV82" s="28"/>
      <c r="BW82" s="29"/>
      <c r="BX82" s="29"/>
      <c r="BY82" s="29"/>
      <c r="BZ82" s="28"/>
      <c r="CA82" s="28"/>
      <c r="CB82" s="28"/>
      <c r="CC82" s="291"/>
      <c r="CD82" s="291"/>
      <c r="CE82" s="291"/>
      <c r="CF82" s="268"/>
      <c r="CH82" s="457"/>
      <c r="CI82" s="457"/>
      <c r="CJ82" s="457"/>
      <c r="CK82" s="457"/>
      <c r="CL82" s="457"/>
      <c r="CM82" s="457"/>
      <c r="CN82" s="457"/>
      <c r="CO82" s="457"/>
      <c r="CP82" s="457"/>
    </row>
    <row r="83" spans="1:97" x14ac:dyDescent="0.2">
      <c r="A83" s="35" t="s">
        <v>159</v>
      </c>
      <c r="B83" s="111">
        <f>7000-B84-B85</f>
        <v>6630.5</v>
      </c>
      <c r="C83" s="37">
        <f t="shared" ref="C83:AH83" si="90">+C88-C84-C85</f>
        <v>5482.4000000000005</v>
      </c>
      <c r="D83" s="37">
        <f t="shared" si="90"/>
        <v>5412</v>
      </c>
      <c r="E83" s="37">
        <f t="shared" si="90"/>
        <v>7500.9</v>
      </c>
      <c r="F83" s="37">
        <f t="shared" si="90"/>
        <v>7079.4</v>
      </c>
      <c r="G83" s="37">
        <f t="shared" si="90"/>
        <v>7557.3000000000011</v>
      </c>
      <c r="H83" s="37">
        <f t="shared" si="90"/>
        <v>5436.8000000000011</v>
      </c>
      <c r="I83" s="37">
        <f t="shared" si="90"/>
        <v>4147.6000000000004</v>
      </c>
      <c r="J83" s="37">
        <f t="shared" si="90"/>
        <v>5354.7</v>
      </c>
      <c r="K83" s="37">
        <f t="shared" si="90"/>
        <v>5071.4000000000005</v>
      </c>
      <c r="L83" s="37">
        <f t="shared" si="90"/>
        <v>6339.4</v>
      </c>
      <c r="M83" s="37">
        <f t="shared" si="90"/>
        <v>7704.5</v>
      </c>
      <c r="N83" s="37">
        <f t="shared" si="90"/>
        <v>9539.8000000000011</v>
      </c>
      <c r="O83" s="37">
        <f t="shared" si="90"/>
        <v>12147.9</v>
      </c>
      <c r="P83" s="37">
        <f t="shared" si="90"/>
        <v>12744.2</v>
      </c>
      <c r="Q83" s="37">
        <f t="shared" si="90"/>
        <v>12659.5</v>
      </c>
      <c r="R83" s="37">
        <f t="shared" si="90"/>
        <v>14440.1</v>
      </c>
      <c r="S83" s="37">
        <f t="shared" si="90"/>
        <v>16613</v>
      </c>
      <c r="T83" s="37">
        <f t="shared" si="90"/>
        <v>18116</v>
      </c>
      <c r="U83" s="37">
        <f t="shared" si="90"/>
        <v>21078</v>
      </c>
      <c r="V83" s="37">
        <f t="shared" si="90"/>
        <v>24466</v>
      </c>
      <c r="W83" s="37">
        <f t="shared" si="90"/>
        <v>29013</v>
      </c>
      <c r="X83" s="37">
        <f t="shared" si="90"/>
        <v>26731</v>
      </c>
      <c r="Y83" s="37">
        <f t="shared" si="90"/>
        <v>28561.999999999996</v>
      </c>
      <c r="Z83" s="37">
        <f t="shared" si="90"/>
        <v>33691</v>
      </c>
      <c r="AA83" s="37">
        <f t="shared" si="90"/>
        <v>35489</v>
      </c>
      <c r="AB83" s="37">
        <f t="shared" si="90"/>
        <v>36850</v>
      </c>
      <c r="AC83" s="37">
        <f t="shared" si="90"/>
        <v>35822</v>
      </c>
      <c r="AD83" s="37">
        <f t="shared" si="90"/>
        <v>32154</v>
      </c>
      <c r="AE83" s="37">
        <f t="shared" si="90"/>
        <v>31774</v>
      </c>
      <c r="AF83" s="37">
        <f t="shared" si="90"/>
        <v>30411</v>
      </c>
      <c r="AG83" s="37">
        <f t="shared" si="90"/>
        <v>26185</v>
      </c>
      <c r="AH83" s="37">
        <f t="shared" si="90"/>
        <v>21703.261999999999</v>
      </c>
      <c r="AI83" s="37">
        <f t="shared" ref="AI83:BN83" si="91">+AI88-AI84-AI85</f>
        <v>24492</v>
      </c>
      <c r="AJ83" s="37">
        <f t="shared" si="91"/>
        <v>31467</v>
      </c>
      <c r="AK83" s="37">
        <f t="shared" si="91"/>
        <v>37698</v>
      </c>
      <c r="AL83" s="37">
        <f t="shared" si="91"/>
        <v>42294</v>
      </c>
      <c r="AM83" s="37">
        <f t="shared" si="91"/>
        <v>49310</v>
      </c>
      <c r="AN83" s="37">
        <f t="shared" si="91"/>
        <v>47253</v>
      </c>
      <c r="AO83" s="37">
        <f t="shared" si="91"/>
        <v>51034</v>
      </c>
      <c r="AP83" s="37">
        <f t="shared" si="91"/>
        <v>56411</v>
      </c>
      <c r="AQ83" s="37">
        <f t="shared" si="91"/>
        <v>61958</v>
      </c>
      <c r="AR83" s="37">
        <f t="shared" si="91"/>
        <v>57556</v>
      </c>
      <c r="AS83" s="37">
        <f t="shared" si="91"/>
        <v>44530</v>
      </c>
      <c r="AT83" s="37">
        <f t="shared" si="91"/>
        <v>46934</v>
      </c>
      <c r="AU83" s="37">
        <f t="shared" si="91"/>
        <v>54356</v>
      </c>
      <c r="AV83" s="37">
        <f t="shared" si="91"/>
        <v>49989</v>
      </c>
      <c r="AW83" s="37">
        <f t="shared" si="91"/>
        <v>52045</v>
      </c>
      <c r="AX83" s="37">
        <f t="shared" si="91"/>
        <v>54521</v>
      </c>
      <c r="AY83" s="37">
        <f t="shared" si="91"/>
        <v>59809</v>
      </c>
      <c r="AZ83" s="37">
        <f t="shared" si="91"/>
        <v>58472</v>
      </c>
      <c r="BA83" s="37">
        <f t="shared" si="91"/>
        <v>65626</v>
      </c>
      <c r="BB83" s="37">
        <f t="shared" si="91"/>
        <v>70352</v>
      </c>
      <c r="BC83" s="37">
        <f t="shared" si="91"/>
        <v>76440</v>
      </c>
      <c r="BD83" s="37">
        <f t="shared" si="91"/>
        <v>79624</v>
      </c>
      <c r="BE83" s="37">
        <f t="shared" si="91"/>
        <v>80863</v>
      </c>
      <c r="BF83" s="37">
        <f t="shared" si="91"/>
        <v>84387.909451099986</v>
      </c>
      <c r="BG83" s="37">
        <f t="shared" si="91"/>
        <v>97892</v>
      </c>
      <c r="BH83" s="37">
        <f t="shared" si="91"/>
        <v>96519</v>
      </c>
      <c r="BI83" s="37">
        <f t="shared" si="91"/>
        <v>99740.667381601859</v>
      </c>
      <c r="BJ83" s="37">
        <f t="shared" si="91"/>
        <v>119028.81067560156</v>
      </c>
      <c r="BK83" s="37">
        <f t="shared" si="91"/>
        <v>116424.00880225</v>
      </c>
      <c r="BL83" s="37">
        <f t="shared" si="91"/>
        <v>122824</v>
      </c>
      <c r="BM83" s="37">
        <f t="shared" si="91"/>
        <v>140701</v>
      </c>
      <c r="BN83" s="37">
        <f t="shared" si="91"/>
        <v>145272</v>
      </c>
      <c r="BO83" s="37">
        <f t="shared" ref="BO83:BT83" si="92">+BO88-BO84-BO85</f>
        <v>152304.9353092573</v>
      </c>
      <c r="BP83" s="37">
        <f t="shared" si="92"/>
        <v>156276.32403116589</v>
      </c>
      <c r="BQ83" s="37">
        <f t="shared" si="92"/>
        <v>161724.88705384952</v>
      </c>
      <c r="BR83" s="37">
        <f t="shared" si="92"/>
        <v>159446.85219854221</v>
      </c>
      <c r="BS83" s="37">
        <f t="shared" si="92"/>
        <v>161624</v>
      </c>
      <c r="BT83" s="37">
        <f t="shared" si="92"/>
        <v>171060.01199999999</v>
      </c>
      <c r="BU83" s="37">
        <f t="shared" ref="BU83:BZ83" si="93">+BU88-BU84-BU85</f>
        <v>185009.76101166912</v>
      </c>
      <c r="BV83" s="37">
        <f t="shared" si="93"/>
        <v>160964.48217900313</v>
      </c>
      <c r="BW83" s="38">
        <f t="shared" si="93"/>
        <v>184541.44027388864</v>
      </c>
      <c r="BX83" s="38">
        <f t="shared" si="93"/>
        <v>197433.49786916055</v>
      </c>
      <c r="BY83" s="38">
        <f t="shared" si="93"/>
        <v>205493.91465606721</v>
      </c>
      <c r="BZ83" s="37">
        <f t="shared" si="93"/>
        <v>225021.71171163066</v>
      </c>
      <c r="CA83" s="37">
        <f>+CA88-CA84-CA85</f>
        <v>190556.80910298449</v>
      </c>
      <c r="CB83" s="37">
        <f>+CB88-CB84-CB85</f>
        <v>251207.89838917513</v>
      </c>
      <c r="CC83" s="292">
        <f>+CC88-CC84-CC85</f>
        <v>304493.10977555125</v>
      </c>
      <c r="CD83" s="292">
        <v>342070.97393594531</v>
      </c>
      <c r="CE83" s="292">
        <v>395180.25235451048</v>
      </c>
      <c r="CF83" s="326">
        <v>436243.4338499888</v>
      </c>
      <c r="CH83" s="457"/>
      <c r="CI83" s="457"/>
      <c r="CJ83" s="457"/>
      <c r="CK83" s="457"/>
      <c r="CL83" s="457"/>
      <c r="CM83" s="457"/>
      <c r="CN83" s="457"/>
      <c r="CO83" s="457"/>
      <c r="CP83" s="457"/>
    </row>
    <row r="84" spans="1:97" x14ac:dyDescent="0.2">
      <c r="A84" s="43" t="s">
        <v>160</v>
      </c>
      <c r="B84" s="44">
        <v>230</v>
      </c>
      <c r="C84" s="45">
        <v>240</v>
      </c>
      <c r="D84" s="45">
        <v>250</v>
      </c>
      <c r="E84" s="45">
        <v>270</v>
      </c>
      <c r="F84" s="45">
        <v>280</v>
      </c>
      <c r="G84" s="45">
        <v>300</v>
      </c>
      <c r="H84" s="45">
        <v>320</v>
      </c>
      <c r="I84" s="45">
        <v>350</v>
      </c>
      <c r="J84" s="45">
        <v>380</v>
      </c>
      <c r="K84" s="45">
        <v>390</v>
      </c>
      <c r="L84" s="45">
        <v>400</v>
      </c>
      <c r="M84" s="45">
        <v>480</v>
      </c>
      <c r="N84" s="45">
        <v>500</v>
      </c>
      <c r="O84" s="45">
        <v>772</v>
      </c>
      <c r="P84" s="45">
        <v>783</v>
      </c>
      <c r="Q84" s="45">
        <v>900</v>
      </c>
      <c r="R84" s="45">
        <v>1096</v>
      </c>
      <c r="S84" s="45">
        <v>1645</v>
      </c>
      <c r="T84" s="45">
        <v>2127</v>
      </c>
      <c r="U84" s="45">
        <v>3179</v>
      </c>
      <c r="V84" s="45">
        <v>3877</v>
      </c>
      <c r="W84" s="45">
        <v>5640</v>
      </c>
      <c r="X84" s="45">
        <v>4825</v>
      </c>
      <c r="Y84" s="45">
        <v>5583</v>
      </c>
      <c r="Z84" s="45">
        <v>6553</v>
      </c>
      <c r="AA84" s="45">
        <v>7383</v>
      </c>
      <c r="AB84" s="45">
        <v>8291</v>
      </c>
      <c r="AC84" s="46">
        <v>8943</v>
      </c>
      <c r="AD84" s="46">
        <v>8956</v>
      </c>
      <c r="AE84" s="46">
        <v>7957</v>
      </c>
      <c r="AF84" s="46">
        <v>8098</v>
      </c>
      <c r="AG84" s="46">
        <v>6983</v>
      </c>
      <c r="AH84" s="46">
        <v>6189.84</v>
      </c>
      <c r="AI84" s="46">
        <v>6710</v>
      </c>
      <c r="AJ84" s="45">
        <v>9252</v>
      </c>
      <c r="AK84" s="47">
        <v>11447</v>
      </c>
      <c r="AL84" s="45">
        <v>13114</v>
      </c>
      <c r="AM84" s="46">
        <v>16127</v>
      </c>
      <c r="AN84" s="45">
        <v>15673</v>
      </c>
      <c r="AO84" s="45">
        <v>16715</v>
      </c>
      <c r="AP84" s="45">
        <v>17738</v>
      </c>
      <c r="AQ84" s="45">
        <v>18545</v>
      </c>
      <c r="AR84" s="45">
        <v>18940</v>
      </c>
      <c r="AS84" s="47">
        <v>14682</v>
      </c>
      <c r="AT84" s="46">
        <v>15163</v>
      </c>
      <c r="AU84" s="46">
        <v>17431</v>
      </c>
      <c r="AV84" s="45">
        <v>16821</v>
      </c>
      <c r="AW84" s="45">
        <v>17888</v>
      </c>
      <c r="AX84" s="45">
        <v>18920</v>
      </c>
      <c r="AY84" s="45">
        <v>21658</v>
      </c>
      <c r="AZ84" s="45">
        <v>22642</v>
      </c>
      <c r="BA84" s="45">
        <v>25597</v>
      </c>
      <c r="BB84" s="45">
        <v>27898</v>
      </c>
      <c r="BC84" s="45">
        <v>31344</v>
      </c>
      <c r="BD84" s="45">
        <v>35942</v>
      </c>
      <c r="BE84" s="45">
        <v>38389</v>
      </c>
      <c r="BF84" s="45">
        <v>40255</v>
      </c>
      <c r="BG84" s="45">
        <v>49984</v>
      </c>
      <c r="BH84" s="45">
        <v>47732</v>
      </c>
      <c r="BI84" s="46">
        <v>45357.032779999994</v>
      </c>
      <c r="BJ84" s="45">
        <v>48876.976203999999</v>
      </c>
      <c r="BK84" s="45">
        <v>46713</v>
      </c>
      <c r="BL84" s="45">
        <v>48124</v>
      </c>
      <c r="BM84" s="45">
        <v>55186</v>
      </c>
      <c r="BN84" s="45">
        <v>58923</v>
      </c>
      <c r="BO84" s="45">
        <v>67662.197018999999</v>
      </c>
      <c r="BP84" s="47">
        <v>73742.143060999995</v>
      </c>
      <c r="BQ84" s="45">
        <v>76753</v>
      </c>
      <c r="BR84" s="47">
        <v>80236.739243999997</v>
      </c>
      <c r="BS84" s="45">
        <v>82393</v>
      </c>
      <c r="BT84" s="45">
        <v>88478</v>
      </c>
      <c r="BU84" s="45">
        <v>95380.714547999989</v>
      </c>
      <c r="BV84" s="45">
        <v>81121.373778999987</v>
      </c>
      <c r="BW84" s="46">
        <v>94196.713929999984</v>
      </c>
      <c r="BX84" s="46">
        <v>101857.28206599999</v>
      </c>
      <c r="BY84" s="46">
        <v>109310.39907099999</v>
      </c>
      <c r="BZ84" s="45">
        <v>119927.02235</v>
      </c>
      <c r="CA84" s="45">
        <v>93276.566026999993</v>
      </c>
      <c r="CB84" s="45">
        <v>114094.29926</v>
      </c>
      <c r="CC84" s="293">
        <v>133675.13215399999</v>
      </c>
      <c r="CD84" s="293">
        <v>150886.791619</v>
      </c>
      <c r="CE84" s="293">
        <v>176956.04602899999</v>
      </c>
      <c r="CF84" s="327">
        <v>194814.61183499999</v>
      </c>
      <c r="CG84" s="501"/>
      <c r="CH84" s="457"/>
      <c r="CI84" s="457"/>
      <c r="CJ84" s="457"/>
      <c r="CK84" s="457"/>
      <c r="CL84" s="457"/>
      <c r="CM84" s="457"/>
      <c r="CN84" s="457"/>
      <c r="CO84" s="457"/>
      <c r="CP84" s="457"/>
    </row>
    <row r="85" spans="1:97" x14ac:dyDescent="0.2">
      <c r="A85" s="43" t="s">
        <v>161</v>
      </c>
      <c r="B85" s="44">
        <v>139.5</v>
      </c>
      <c r="C85" s="45">
        <v>121.4</v>
      </c>
      <c r="D85" s="45">
        <v>181.5</v>
      </c>
      <c r="E85" s="45">
        <v>1191.0999999999999</v>
      </c>
      <c r="F85" s="45">
        <v>1227</v>
      </c>
      <c r="G85" s="45">
        <v>1101.9000000000001</v>
      </c>
      <c r="H85" s="45">
        <v>1038.9000000000001</v>
      </c>
      <c r="I85" s="45">
        <v>903</v>
      </c>
      <c r="J85" s="45">
        <v>1031.2</v>
      </c>
      <c r="K85" s="45">
        <v>1066.7</v>
      </c>
      <c r="L85" s="45">
        <v>1207.5</v>
      </c>
      <c r="M85" s="45">
        <v>1277</v>
      </c>
      <c r="N85" s="45">
        <v>1465.4</v>
      </c>
      <c r="O85" s="45">
        <v>1655.2</v>
      </c>
      <c r="P85" s="45">
        <v>1681.4</v>
      </c>
      <c r="Q85" s="45">
        <v>1828</v>
      </c>
      <c r="R85" s="45">
        <v>1765.9</v>
      </c>
      <c r="S85" s="45">
        <v>1930.1</v>
      </c>
      <c r="T85" s="45">
        <v>2831.6</v>
      </c>
      <c r="U85" s="45">
        <v>3134.1</v>
      </c>
      <c r="V85" s="45">
        <v>3526.5</v>
      </c>
      <c r="W85" s="45">
        <v>4122.6000000000004</v>
      </c>
      <c r="X85" s="45">
        <v>5240.8999999999996</v>
      </c>
      <c r="Y85" s="45">
        <v>5034.2</v>
      </c>
      <c r="Z85" s="45">
        <v>5280.7</v>
      </c>
      <c r="AA85" s="45">
        <v>5953.1</v>
      </c>
      <c r="AB85" s="45">
        <v>6749.8</v>
      </c>
      <c r="AC85" s="46">
        <v>6920</v>
      </c>
      <c r="AD85" s="46">
        <v>7078</v>
      </c>
      <c r="AE85" s="46">
        <v>7170</v>
      </c>
      <c r="AF85" s="46">
        <v>7532</v>
      </c>
      <c r="AG85" s="46">
        <v>7375</v>
      </c>
      <c r="AH85" s="46">
        <v>8009</v>
      </c>
      <c r="AI85" s="46">
        <v>7865</v>
      </c>
      <c r="AJ85" s="45">
        <v>8421</v>
      </c>
      <c r="AK85" s="47">
        <v>8671</v>
      </c>
      <c r="AL85" s="45">
        <v>9015</v>
      </c>
      <c r="AM85" s="46">
        <v>9294</v>
      </c>
      <c r="AN85" s="45">
        <v>9958</v>
      </c>
      <c r="AO85" s="45">
        <v>10750</v>
      </c>
      <c r="AP85" s="45">
        <v>11740</v>
      </c>
      <c r="AQ85" s="45">
        <v>10270</v>
      </c>
      <c r="AR85" s="45">
        <v>11760</v>
      </c>
      <c r="AS85" s="47">
        <v>13946</v>
      </c>
      <c r="AT85" s="46">
        <v>14685</v>
      </c>
      <c r="AU85" s="46">
        <v>13509</v>
      </c>
      <c r="AV85" s="45">
        <v>14633</v>
      </c>
      <c r="AW85" s="45">
        <v>15030</v>
      </c>
      <c r="AX85" s="45">
        <v>15228</v>
      </c>
      <c r="AY85" s="45">
        <v>14986</v>
      </c>
      <c r="AZ85" s="45">
        <v>16401</v>
      </c>
      <c r="BA85" s="45">
        <v>16953</v>
      </c>
      <c r="BB85" s="45">
        <v>17591</v>
      </c>
      <c r="BC85" s="45">
        <v>18133</v>
      </c>
      <c r="BD85" s="45">
        <v>19051</v>
      </c>
      <c r="BE85" s="45">
        <v>19065</v>
      </c>
      <c r="BF85" s="45">
        <v>22632.810791880001</v>
      </c>
      <c r="BG85" s="45">
        <v>26169</v>
      </c>
      <c r="BH85" s="45">
        <v>31539</v>
      </c>
      <c r="BI85" s="46">
        <v>31513.255786669979</v>
      </c>
      <c r="BJ85" s="45">
        <v>30283.407479290006</v>
      </c>
      <c r="BK85" s="45">
        <v>32489.582483159989</v>
      </c>
      <c r="BL85" s="45">
        <v>34911</v>
      </c>
      <c r="BM85" s="45">
        <v>34541</v>
      </c>
      <c r="BN85" s="45">
        <v>34950</v>
      </c>
      <c r="BO85" s="45">
        <v>35084.09974379999</v>
      </c>
      <c r="BP85" s="47">
        <v>40330.373031739982</v>
      </c>
      <c r="BQ85" s="45">
        <v>42500</v>
      </c>
      <c r="BR85" s="47">
        <v>43247.413639629958</v>
      </c>
      <c r="BS85" s="45">
        <v>44704</v>
      </c>
      <c r="BT85" s="45">
        <v>47604.987999999998</v>
      </c>
      <c r="BU85" s="45">
        <v>50592.387464569983</v>
      </c>
      <c r="BV85" s="45">
        <v>57893.447883410074</v>
      </c>
      <c r="BW85" s="46">
        <v>56929.451298390326</v>
      </c>
      <c r="BX85" s="46">
        <v>59995.36222803015</v>
      </c>
      <c r="BY85" s="46">
        <v>62280.125262910049</v>
      </c>
      <c r="BZ85" s="45">
        <v>62769.989410650131</v>
      </c>
      <c r="CA85" s="45">
        <v>84331.390904120068</v>
      </c>
      <c r="CB85" s="45">
        <v>79277.604898330057</v>
      </c>
      <c r="CC85" s="293">
        <v>76024.050487650326</v>
      </c>
      <c r="CD85" s="293">
        <v>77551.377652070019</v>
      </c>
      <c r="CE85" s="293">
        <v>81808.327006970037</v>
      </c>
      <c r="CF85" s="270">
        <v>82567.080796849958</v>
      </c>
      <c r="CH85" s="457"/>
      <c r="CI85" s="457"/>
      <c r="CJ85" s="457"/>
      <c r="CK85" s="457"/>
      <c r="CL85" s="457"/>
      <c r="CM85" s="457"/>
      <c r="CN85" s="457"/>
      <c r="CO85" s="457"/>
      <c r="CP85" s="457"/>
    </row>
    <row r="86" spans="1:97" x14ac:dyDescent="0.2">
      <c r="A86" s="43" t="s">
        <v>162</v>
      </c>
      <c r="B86" s="44"/>
      <c r="C86" s="45" t="s">
        <v>50</v>
      </c>
      <c r="D86" s="45" t="s">
        <v>50</v>
      </c>
      <c r="E86" s="45" t="s">
        <v>50</v>
      </c>
      <c r="F86" s="45" t="s">
        <v>50</v>
      </c>
      <c r="G86" s="45" t="s">
        <v>50</v>
      </c>
      <c r="H86" s="45" t="s">
        <v>50</v>
      </c>
      <c r="I86" s="45" t="s">
        <v>50</v>
      </c>
      <c r="J86" s="45" t="s">
        <v>50</v>
      </c>
      <c r="K86" s="45" t="s">
        <v>50</v>
      </c>
      <c r="L86" s="45" t="s">
        <v>50</v>
      </c>
      <c r="M86" s="45" t="s">
        <v>50</v>
      </c>
      <c r="N86" s="45" t="s">
        <v>50</v>
      </c>
      <c r="O86" s="45" t="s">
        <v>50</v>
      </c>
      <c r="P86" s="45" t="s">
        <v>50</v>
      </c>
      <c r="Q86" s="45" t="s">
        <v>50</v>
      </c>
      <c r="R86" s="45" t="s">
        <v>50</v>
      </c>
      <c r="S86" s="45" t="s">
        <v>50</v>
      </c>
      <c r="T86" s="45" t="s">
        <v>50</v>
      </c>
      <c r="U86" s="45" t="s">
        <v>50</v>
      </c>
      <c r="V86" s="45" t="s">
        <v>50</v>
      </c>
      <c r="W86" s="45" t="s">
        <v>50</v>
      </c>
      <c r="X86" s="45" t="s">
        <v>50</v>
      </c>
      <c r="Y86" s="45" t="s">
        <v>50</v>
      </c>
      <c r="Z86" s="45" t="s">
        <v>50</v>
      </c>
      <c r="AA86" s="45" t="s">
        <v>50</v>
      </c>
      <c r="AB86" s="45" t="s">
        <v>50</v>
      </c>
      <c r="AC86" s="45" t="s">
        <v>50</v>
      </c>
      <c r="AD86" s="45" t="s">
        <v>50</v>
      </c>
      <c r="AE86" s="45" t="s">
        <v>50</v>
      </c>
      <c r="AF86" s="45" t="s">
        <v>50</v>
      </c>
      <c r="AG86" s="45" t="s">
        <v>50</v>
      </c>
      <c r="AH86" s="45" t="s">
        <v>50</v>
      </c>
      <c r="AI86" s="45" t="s">
        <v>50</v>
      </c>
      <c r="AJ86" s="45" t="s">
        <v>50</v>
      </c>
      <c r="AK86" s="45" t="s">
        <v>50</v>
      </c>
      <c r="AL86" s="45" t="s">
        <v>50</v>
      </c>
      <c r="AM86" s="45" t="s">
        <v>50</v>
      </c>
      <c r="AN86" s="45" t="s">
        <v>50</v>
      </c>
      <c r="AO86" s="45">
        <v>236</v>
      </c>
      <c r="AP86" s="45">
        <v>805</v>
      </c>
      <c r="AQ86" s="45">
        <v>613</v>
      </c>
      <c r="AR86" s="45">
        <v>1114</v>
      </c>
      <c r="AS86" s="47">
        <v>2203</v>
      </c>
      <c r="AT86" s="46">
        <v>3302</v>
      </c>
      <c r="AU86" s="46">
        <v>3119</v>
      </c>
      <c r="AV86" s="45">
        <v>3184</v>
      </c>
      <c r="AW86" s="45">
        <v>3601</v>
      </c>
      <c r="AX86" s="45">
        <v>4115</v>
      </c>
      <c r="AY86" s="45">
        <v>4466</v>
      </c>
      <c r="AZ86" s="45">
        <v>4876</v>
      </c>
      <c r="BA86" s="45">
        <v>4644.8</v>
      </c>
      <c r="BB86" s="45">
        <v>4693</v>
      </c>
      <c r="BC86" s="45">
        <v>5056</v>
      </c>
      <c r="BD86" s="45">
        <v>5356</v>
      </c>
      <c r="BE86" s="45">
        <v>5667</v>
      </c>
      <c r="BF86" s="45">
        <v>6700</v>
      </c>
      <c r="BG86" s="45">
        <v>7070</v>
      </c>
      <c r="BH86" s="45">
        <v>7391</v>
      </c>
      <c r="BI86" s="46">
        <v>7334.4539916699741</v>
      </c>
      <c r="BJ86" s="45">
        <v>7451.7904792900026</v>
      </c>
      <c r="BK86" s="45">
        <v>7974</v>
      </c>
      <c r="BL86" s="45">
        <v>8446</v>
      </c>
      <c r="BM86" s="45">
        <v>8501</v>
      </c>
      <c r="BN86" s="45">
        <v>8575</v>
      </c>
      <c r="BO86" s="45">
        <v>8458.9787302699933</v>
      </c>
      <c r="BP86" s="47">
        <v>10258.764139789982</v>
      </c>
      <c r="BQ86" s="45">
        <v>11447</v>
      </c>
      <c r="BR86" s="47">
        <v>12096.771246049961</v>
      </c>
      <c r="BS86" s="45">
        <v>12563</v>
      </c>
      <c r="BT86" s="45">
        <v>13580</v>
      </c>
      <c r="BU86" s="45">
        <v>14881.374298569979</v>
      </c>
      <c r="BV86" s="45">
        <v>19001.165883410074</v>
      </c>
      <c r="BW86" s="46">
        <v>20216.503893430327</v>
      </c>
      <c r="BX86" s="46">
        <v>20848.777289670146</v>
      </c>
      <c r="BY86" s="46">
        <v>22008.14054840005</v>
      </c>
      <c r="BZ86" s="45">
        <v>22549.923947650135</v>
      </c>
      <c r="CA86" s="45">
        <v>24005.040408470075</v>
      </c>
      <c r="CB86" s="45">
        <v>25511.304277360057</v>
      </c>
      <c r="CC86" s="293">
        <v>25705.566967050319</v>
      </c>
      <c r="CD86" s="293">
        <v>27734.519769890019</v>
      </c>
      <c r="CE86" s="293">
        <v>28977.297014400043</v>
      </c>
      <c r="CF86" s="270">
        <v>29055.017993189966</v>
      </c>
      <c r="CH86" s="457"/>
      <c r="CI86" s="457"/>
      <c r="CJ86" s="457"/>
      <c r="CK86" s="457"/>
      <c r="CL86" s="457"/>
      <c r="CM86" s="457"/>
      <c r="CN86" s="457"/>
      <c r="CO86" s="457"/>
      <c r="CP86" s="457"/>
    </row>
    <row r="87" spans="1:97" x14ac:dyDescent="0.2">
      <c r="A87" s="43" t="s">
        <v>163</v>
      </c>
      <c r="B87" s="44"/>
      <c r="C87" s="45" t="s">
        <v>50</v>
      </c>
      <c r="D87" s="45" t="s">
        <v>50</v>
      </c>
      <c r="E87" s="45">
        <v>549</v>
      </c>
      <c r="F87" s="45">
        <v>666</v>
      </c>
      <c r="G87" s="45">
        <v>596</v>
      </c>
      <c r="H87" s="45">
        <v>502</v>
      </c>
      <c r="I87" s="45">
        <v>328</v>
      </c>
      <c r="J87" s="45">
        <v>344</v>
      </c>
      <c r="K87" s="45">
        <v>334</v>
      </c>
      <c r="L87" s="45">
        <v>341</v>
      </c>
      <c r="M87" s="45">
        <v>354</v>
      </c>
      <c r="N87" s="45">
        <v>358</v>
      </c>
      <c r="O87" s="45">
        <v>392</v>
      </c>
      <c r="P87" s="45">
        <v>381</v>
      </c>
      <c r="Q87" s="45">
        <v>396</v>
      </c>
      <c r="R87" s="45">
        <v>408</v>
      </c>
      <c r="S87" s="45">
        <v>389</v>
      </c>
      <c r="T87" s="45">
        <v>604</v>
      </c>
      <c r="U87" s="45">
        <v>623</v>
      </c>
      <c r="V87" s="45">
        <v>1239</v>
      </c>
      <c r="W87" s="45">
        <v>622</v>
      </c>
      <c r="X87" s="45">
        <v>676</v>
      </c>
      <c r="Y87" s="45">
        <v>679</v>
      </c>
      <c r="Z87" s="45">
        <v>735</v>
      </c>
      <c r="AA87" s="45">
        <v>714</v>
      </c>
      <c r="AB87" s="45">
        <v>761</v>
      </c>
      <c r="AC87" s="46">
        <v>756</v>
      </c>
      <c r="AD87" s="46">
        <v>708</v>
      </c>
      <c r="AE87" s="46">
        <v>698</v>
      </c>
      <c r="AF87" s="46">
        <v>687</v>
      </c>
      <c r="AG87" s="46">
        <v>637</v>
      </c>
      <c r="AH87" s="46">
        <v>645</v>
      </c>
      <c r="AI87" s="46">
        <v>609</v>
      </c>
      <c r="AJ87" s="45">
        <v>690</v>
      </c>
      <c r="AK87" s="47">
        <v>681</v>
      </c>
      <c r="AL87" s="45">
        <v>747</v>
      </c>
      <c r="AM87" s="46">
        <v>712</v>
      </c>
      <c r="AN87" s="45">
        <v>743</v>
      </c>
      <c r="AO87" s="45">
        <v>791</v>
      </c>
      <c r="AP87" s="45">
        <v>776</v>
      </c>
      <c r="AQ87" s="45">
        <v>678</v>
      </c>
      <c r="AR87" s="45">
        <v>757</v>
      </c>
      <c r="AS87" s="47">
        <v>775</v>
      </c>
      <c r="AT87" s="46">
        <v>823</v>
      </c>
      <c r="AU87" s="46">
        <v>929</v>
      </c>
      <c r="AV87" s="45">
        <v>800</v>
      </c>
      <c r="AW87" s="45">
        <v>792</v>
      </c>
      <c r="AX87" s="45">
        <v>847</v>
      </c>
      <c r="AY87" s="45">
        <v>790</v>
      </c>
      <c r="AZ87" s="45">
        <v>822</v>
      </c>
      <c r="BA87" s="45">
        <v>783</v>
      </c>
      <c r="BB87" s="45">
        <v>813</v>
      </c>
      <c r="BC87" s="45">
        <v>801</v>
      </c>
      <c r="BD87" s="45">
        <v>844</v>
      </c>
      <c r="BE87" s="45">
        <v>821</v>
      </c>
      <c r="BF87" s="45">
        <v>895</v>
      </c>
      <c r="BG87" s="45">
        <v>987</v>
      </c>
      <c r="BH87" s="45">
        <v>1416</v>
      </c>
      <c r="BI87" s="46">
        <v>1149</v>
      </c>
      <c r="BJ87" s="45">
        <v>1086</v>
      </c>
      <c r="BK87" s="45">
        <v>1133</v>
      </c>
      <c r="BL87" s="45">
        <v>1182</v>
      </c>
      <c r="BM87" s="45">
        <v>1163</v>
      </c>
      <c r="BN87" s="45">
        <v>1143</v>
      </c>
      <c r="BO87" s="45">
        <v>1146</v>
      </c>
      <c r="BP87" s="47">
        <v>1112</v>
      </c>
      <c r="BQ87" s="45">
        <v>1147</v>
      </c>
      <c r="BR87" s="47">
        <v>1199</v>
      </c>
      <c r="BS87" s="45">
        <v>1128</v>
      </c>
      <c r="BT87" s="45">
        <v>1206</v>
      </c>
      <c r="BU87" s="45">
        <v>1328</v>
      </c>
      <c r="BV87" s="45">
        <v>1575.2389713</v>
      </c>
      <c r="BW87" s="46">
        <v>1568.6252608100001</v>
      </c>
      <c r="BX87" s="46">
        <v>1542.0520340600001</v>
      </c>
      <c r="BY87" s="46">
        <v>1369.04894878</v>
      </c>
      <c r="BZ87" s="45">
        <v>1420.53458574</v>
      </c>
      <c r="CA87" s="45">
        <v>1879.7898118400001</v>
      </c>
      <c r="CB87" s="45">
        <v>2096.8228340000001</v>
      </c>
      <c r="CC87" s="45">
        <v>1521.4818174500001</v>
      </c>
      <c r="CD87" s="45">
        <v>1630.0249868400001</v>
      </c>
      <c r="CE87" s="45">
        <v>1578.6224395900001</v>
      </c>
      <c r="CF87" s="327">
        <v>1468.4700711200001</v>
      </c>
      <c r="CG87" s="471"/>
      <c r="CH87" s="457"/>
      <c r="CI87" s="457"/>
      <c r="CJ87" s="457"/>
      <c r="CK87" s="457"/>
      <c r="CL87" s="457"/>
      <c r="CM87" s="457"/>
      <c r="CN87" s="457"/>
      <c r="CO87" s="457"/>
      <c r="CP87" s="457"/>
      <c r="CQ87" s="453"/>
    </row>
    <row r="88" spans="1:97" s="425" customFormat="1" x14ac:dyDescent="0.2">
      <c r="A88" s="50" t="s">
        <v>204</v>
      </c>
      <c r="B88" s="53">
        <f>SUM(B83:B85)</f>
        <v>7000</v>
      </c>
      <c r="C88" s="54">
        <v>5843.8</v>
      </c>
      <c r="D88" s="54">
        <v>5843.5</v>
      </c>
      <c r="E88" s="54">
        <v>8962</v>
      </c>
      <c r="F88" s="54">
        <v>8586.4</v>
      </c>
      <c r="G88" s="54">
        <v>8959.2000000000007</v>
      </c>
      <c r="H88" s="54">
        <v>6795.7000000000007</v>
      </c>
      <c r="I88" s="54">
        <v>5400.6</v>
      </c>
      <c r="J88" s="54">
        <v>6765.9</v>
      </c>
      <c r="K88" s="54">
        <v>6528.1</v>
      </c>
      <c r="L88" s="54">
        <v>7946.9</v>
      </c>
      <c r="M88" s="54">
        <v>9461.5</v>
      </c>
      <c r="N88" s="54">
        <v>11505.2</v>
      </c>
      <c r="O88" s="54">
        <v>14575.1</v>
      </c>
      <c r="P88" s="54">
        <v>15208.6</v>
      </c>
      <c r="Q88" s="54">
        <v>15387.5</v>
      </c>
      <c r="R88" s="54">
        <v>17302</v>
      </c>
      <c r="S88" s="54">
        <v>20188.099999999999</v>
      </c>
      <c r="T88" s="54">
        <v>23074.6</v>
      </c>
      <c r="U88" s="54">
        <v>27391.1</v>
      </c>
      <c r="V88" s="54">
        <v>31869.5</v>
      </c>
      <c r="W88" s="54">
        <v>38775.599999999999</v>
      </c>
      <c r="X88" s="54">
        <v>36796.9</v>
      </c>
      <c r="Y88" s="54">
        <v>39179.199999999997</v>
      </c>
      <c r="Z88" s="54">
        <v>45524.7</v>
      </c>
      <c r="AA88" s="54">
        <v>48825.1</v>
      </c>
      <c r="AB88" s="54">
        <v>51890.8</v>
      </c>
      <c r="AC88" s="54">
        <v>51685</v>
      </c>
      <c r="AD88" s="54">
        <v>48188</v>
      </c>
      <c r="AE88" s="54">
        <v>46901</v>
      </c>
      <c r="AF88" s="54">
        <v>46041</v>
      </c>
      <c r="AG88" s="54">
        <v>40543</v>
      </c>
      <c r="AH88" s="54">
        <v>35902.101999999999</v>
      </c>
      <c r="AI88" s="54">
        <v>39067</v>
      </c>
      <c r="AJ88" s="52">
        <v>49140</v>
      </c>
      <c r="AK88" s="53">
        <v>57816</v>
      </c>
      <c r="AL88" s="52">
        <v>64423</v>
      </c>
      <c r="AM88" s="54">
        <v>74731</v>
      </c>
      <c r="AN88" s="52">
        <v>72884</v>
      </c>
      <c r="AO88" s="52">
        <v>78499</v>
      </c>
      <c r="AP88" s="52">
        <v>85889</v>
      </c>
      <c r="AQ88" s="52">
        <v>90773</v>
      </c>
      <c r="AR88" s="52">
        <v>88256</v>
      </c>
      <c r="AS88" s="53">
        <v>73158</v>
      </c>
      <c r="AT88" s="54">
        <v>76782</v>
      </c>
      <c r="AU88" s="54">
        <v>85296</v>
      </c>
      <c r="AV88" s="52">
        <v>81443</v>
      </c>
      <c r="AW88" s="52">
        <v>84963</v>
      </c>
      <c r="AX88" s="52">
        <v>88669</v>
      </c>
      <c r="AY88" s="52">
        <v>96453</v>
      </c>
      <c r="AZ88" s="52">
        <v>97515</v>
      </c>
      <c r="BA88" s="52">
        <v>108176</v>
      </c>
      <c r="BB88" s="52">
        <v>115841</v>
      </c>
      <c r="BC88" s="52">
        <v>125917</v>
      </c>
      <c r="BD88" s="52">
        <v>134617</v>
      </c>
      <c r="BE88" s="52">
        <v>138317</v>
      </c>
      <c r="BF88" s="52">
        <v>147275.72024297999</v>
      </c>
      <c r="BG88" s="52">
        <v>174045</v>
      </c>
      <c r="BH88" s="52">
        <v>175790</v>
      </c>
      <c r="BI88" s="54">
        <v>176610.95594827185</v>
      </c>
      <c r="BJ88" s="52">
        <v>198189.19435889157</v>
      </c>
      <c r="BK88" s="52">
        <v>195626.59128540999</v>
      </c>
      <c r="BL88" s="52">
        <v>205859</v>
      </c>
      <c r="BM88" s="52">
        <v>230428</v>
      </c>
      <c r="BN88" s="52">
        <v>239145</v>
      </c>
      <c r="BO88" s="52">
        <v>255051.23207205729</v>
      </c>
      <c r="BP88" s="53">
        <v>270348.84012390586</v>
      </c>
      <c r="BQ88" s="52">
        <v>280977.88705384952</v>
      </c>
      <c r="BR88" s="53">
        <v>282931.00508217217</v>
      </c>
      <c r="BS88" s="52">
        <v>288721</v>
      </c>
      <c r="BT88" s="52">
        <v>307143</v>
      </c>
      <c r="BU88" s="52">
        <v>330982.86302423908</v>
      </c>
      <c r="BV88" s="52">
        <v>299979.30384141317</v>
      </c>
      <c r="BW88" s="54">
        <v>335667.60550227895</v>
      </c>
      <c r="BX88" s="54">
        <v>359286.1421631907</v>
      </c>
      <c r="BY88" s="54">
        <v>377084.43898997724</v>
      </c>
      <c r="BZ88" s="52">
        <v>407718.72347228078</v>
      </c>
      <c r="CA88" s="52">
        <v>368164.76603410451</v>
      </c>
      <c r="CB88" s="52">
        <v>444579.80254750518</v>
      </c>
      <c r="CC88" s="294">
        <v>514192.29241720156</v>
      </c>
      <c r="CD88" s="294">
        <v>570509.14320701535</v>
      </c>
      <c r="CE88" s="294">
        <v>653944.62539048051</v>
      </c>
      <c r="CF88" s="328">
        <v>713572.8526337056</v>
      </c>
      <c r="CG88" s="473"/>
      <c r="CH88" s="457"/>
      <c r="CI88" s="457"/>
      <c r="CJ88" s="457"/>
      <c r="CK88" s="457"/>
      <c r="CL88" s="457"/>
      <c r="CM88" s="457"/>
      <c r="CN88" s="457"/>
      <c r="CO88" s="457"/>
      <c r="CP88" s="457"/>
    </row>
    <row r="89" spans="1:97" x14ac:dyDescent="0.2">
      <c r="A89" s="43" t="s">
        <v>164</v>
      </c>
      <c r="B89" s="47"/>
      <c r="C89" s="45">
        <v>0</v>
      </c>
      <c r="D89" s="45">
        <v>0</v>
      </c>
      <c r="E89" s="45">
        <v>0</v>
      </c>
      <c r="F89" s="45">
        <v>0</v>
      </c>
      <c r="G89" s="45">
        <v>0</v>
      </c>
      <c r="H89" s="45">
        <v>8</v>
      </c>
      <c r="I89" s="45">
        <v>10</v>
      </c>
      <c r="J89" s="45">
        <v>21</v>
      </c>
      <c r="K89" s="45">
        <v>18</v>
      </c>
      <c r="L89" s="45">
        <v>24</v>
      </c>
      <c r="M89" s="45">
        <v>36</v>
      </c>
      <c r="N89" s="45">
        <v>103</v>
      </c>
      <c r="O89" s="45">
        <v>173</v>
      </c>
      <c r="P89" s="45">
        <v>218</v>
      </c>
      <c r="Q89" s="45">
        <v>249</v>
      </c>
      <c r="R89" s="45">
        <v>330</v>
      </c>
      <c r="S89" s="45">
        <v>571</v>
      </c>
      <c r="T89" s="45">
        <v>773</v>
      </c>
      <c r="U89" s="45">
        <v>1199</v>
      </c>
      <c r="V89" s="45">
        <v>2470</v>
      </c>
      <c r="W89" s="45">
        <v>3280</v>
      </c>
      <c r="X89" s="45">
        <v>3430</v>
      </c>
      <c r="Y89" s="45">
        <v>3770</v>
      </c>
      <c r="Z89" s="45">
        <v>4800</v>
      </c>
      <c r="AA89" s="45">
        <v>4926.3209999999999</v>
      </c>
      <c r="AB89" s="45">
        <v>6580.4815224399972</v>
      </c>
      <c r="AC89" s="46">
        <v>8280.846888</v>
      </c>
      <c r="AD89" s="46">
        <v>8404.6919999999991</v>
      </c>
      <c r="AE89" s="46">
        <v>10404.674000000001</v>
      </c>
      <c r="AF89" s="46">
        <v>11157.696</v>
      </c>
      <c r="AG89" s="46">
        <v>10394.128999999999</v>
      </c>
      <c r="AH89" s="46">
        <v>8414.2470000000012</v>
      </c>
      <c r="AI89" s="46">
        <v>10940.837</v>
      </c>
      <c r="AJ89" s="45">
        <v>15407.123999999998</v>
      </c>
      <c r="AK89" s="47">
        <v>19185.3</v>
      </c>
      <c r="AL89" s="45">
        <v>20093.672000000002</v>
      </c>
      <c r="AM89" s="46">
        <v>28201.873</v>
      </c>
      <c r="AN89" s="45">
        <v>28536.245999999992</v>
      </c>
      <c r="AO89" s="45">
        <v>31229.4</v>
      </c>
      <c r="AP89" s="45">
        <v>30919.100000000002</v>
      </c>
      <c r="AQ89" s="45">
        <v>37272.899999999994</v>
      </c>
      <c r="AR89" s="45">
        <v>36494.646000000001</v>
      </c>
      <c r="AS89" s="47">
        <v>29748.430999999997</v>
      </c>
      <c r="AT89" s="46">
        <v>29750.070000000003</v>
      </c>
      <c r="AU89" s="46">
        <v>34230.600000000013</v>
      </c>
      <c r="AV89" s="45">
        <v>33054.710000000006</v>
      </c>
      <c r="AW89" s="45">
        <v>34682.870000000003</v>
      </c>
      <c r="AX89" s="45">
        <v>34452.1</v>
      </c>
      <c r="AY89" s="45">
        <v>37606.924034219941</v>
      </c>
      <c r="AZ89" s="45">
        <v>37860.333052969909</v>
      </c>
      <c r="BA89" s="45">
        <v>42274.582444679902</v>
      </c>
      <c r="BB89" s="45">
        <v>44520.521440119905</v>
      </c>
      <c r="BC89" s="45">
        <v>47847.205316649641</v>
      </c>
      <c r="BD89" s="45">
        <v>51278.138187769626</v>
      </c>
      <c r="BE89" s="45">
        <v>52196.25656497926</v>
      </c>
      <c r="BF89" s="45">
        <v>54325.300347560158</v>
      </c>
      <c r="BG89" s="45">
        <v>63647.364298070432</v>
      </c>
      <c r="BH89" s="45">
        <v>64114.003630630294</v>
      </c>
      <c r="BI89" s="46">
        <v>63852.802945700714</v>
      </c>
      <c r="BJ89" s="45">
        <v>70609.049051020484</v>
      </c>
      <c r="BK89" s="45">
        <v>69290.824142300276</v>
      </c>
      <c r="BL89" s="45">
        <v>70628.908019281429</v>
      </c>
      <c r="BM89" s="45">
        <v>78837.409949560548</v>
      </c>
      <c r="BN89" s="45">
        <v>80251.15395863133</v>
      </c>
      <c r="BO89" s="45">
        <v>84974.009759011009</v>
      </c>
      <c r="BP89" s="47">
        <v>88684.609251142334</v>
      </c>
      <c r="BQ89" s="45">
        <v>91125.681221131657</v>
      </c>
      <c r="BR89" s="47">
        <v>90758.166599041899</v>
      </c>
      <c r="BS89" s="45">
        <v>91976</v>
      </c>
      <c r="BT89" s="45">
        <v>97102</v>
      </c>
      <c r="BU89" s="45">
        <v>103439.98302124019</v>
      </c>
      <c r="BV89" s="45">
        <v>90954.281879511385</v>
      </c>
      <c r="BW89" s="46">
        <v>102536.93155525356</v>
      </c>
      <c r="BX89" s="46">
        <v>109684.06065480295</v>
      </c>
      <c r="BY89" s="46">
        <v>114313.34140686077</v>
      </c>
      <c r="BZ89" s="45">
        <v>122142.64216760268</v>
      </c>
      <c r="CA89" s="45">
        <v>108056.81656056448</v>
      </c>
      <c r="CB89" s="45">
        <v>129207.02479929297</v>
      </c>
      <c r="CC89" s="293">
        <v>148464.28407247079</v>
      </c>
      <c r="CD89" s="293">
        <v>162637.90197180252</v>
      </c>
      <c r="CE89" s="293">
        <v>186278.9634700343</v>
      </c>
      <c r="CF89" s="327">
        <v>204704.78285118309</v>
      </c>
      <c r="CH89" s="457"/>
      <c r="CI89" s="457"/>
      <c r="CJ89" s="457"/>
      <c r="CK89" s="457"/>
      <c r="CL89" s="457"/>
      <c r="CM89" s="457"/>
      <c r="CN89" s="457"/>
      <c r="CO89" s="457"/>
      <c r="CP89" s="457"/>
    </row>
    <row r="90" spans="1:97" x14ac:dyDescent="0.2">
      <c r="A90" s="104" t="s">
        <v>165</v>
      </c>
      <c r="B90" s="7"/>
      <c r="C90" s="39" t="s">
        <v>50</v>
      </c>
      <c r="D90" s="37" t="s">
        <v>50</v>
      </c>
      <c r="E90" s="37" t="s">
        <v>50</v>
      </c>
      <c r="F90" s="39" t="s">
        <v>50</v>
      </c>
      <c r="G90" s="37" t="s">
        <v>50</v>
      </c>
      <c r="H90" s="37" t="s">
        <v>50</v>
      </c>
      <c r="I90" s="37" t="s">
        <v>50</v>
      </c>
      <c r="J90" s="37" t="s">
        <v>50</v>
      </c>
      <c r="K90" s="37" t="s">
        <v>50</v>
      </c>
      <c r="L90" s="37" t="s">
        <v>50</v>
      </c>
      <c r="M90" s="37" t="s">
        <v>50</v>
      </c>
      <c r="N90" s="37" t="s">
        <v>50</v>
      </c>
      <c r="O90" s="37" t="s">
        <v>50</v>
      </c>
      <c r="P90" s="37" t="s">
        <v>50</v>
      </c>
      <c r="Q90" s="37" t="s">
        <v>50</v>
      </c>
      <c r="R90" s="37" t="s">
        <v>50</v>
      </c>
      <c r="S90" s="37" t="s">
        <v>50</v>
      </c>
      <c r="T90" s="37" t="s">
        <v>50</v>
      </c>
      <c r="U90" s="37" t="s">
        <v>50</v>
      </c>
      <c r="V90" s="37" t="s">
        <v>50</v>
      </c>
      <c r="W90" s="37" t="s">
        <v>50</v>
      </c>
      <c r="X90" s="37" t="s">
        <v>50</v>
      </c>
      <c r="Y90" s="37" t="s">
        <v>50</v>
      </c>
      <c r="Z90" s="37" t="s">
        <v>50</v>
      </c>
      <c r="AA90" s="37" t="s">
        <v>50</v>
      </c>
      <c r="AB90" s="37" t="s">
        <v>50</v>
      </c>
      <c r="AC90" s="39" t="s">
        <v>50</v>
      </c>
      <c r="AD90" s="38" t="s">
        <v>50</v>
      </c>
      <c r="AE90" s="38" t="s">
        <v>50</v>
      </c>
      <c r="AF90" s="38" t="s">
        <v>50</v>
      </c>
      <c r="AG90" s="38" t="s">
        <v>50</v>
      </c>
      <c r="AH90" s="38" t="s">
        <v>50</v>
      </c>
      <c r="AI90" s="38" t="s">
        <v>50</v>
      </c>
      <c r="AJ90" s="37" t="s">
        <v>50</v>
      </c>
      <c r="AK90" s="39" t="s">
        <v>50</v>
      </c>
      <c r="AL90" s="37" t="s">
        <v>50</v>
      </c>
      <c r="AM90" s="38" t="s">
        <v>50</v>
      </c>
      <c r="AN90" s="37" t="s">
        <v>50</v>
      </c>
      <c r="AO90" s="37" t="s">
        <v>50</v>
      </c>
      <c r="AP90" s="37" t="s">
        <v>50</v>
      </c>
      <c r="AQ90" s="37" t="s">
        <v>50</v>
      </c>
      <c r="AR90" s="37" t="s">
        <v>50</v>
      </c>
      <c r="AS90" s="39" t="s">
        <v>50</v>
      </c>
      <c r="AT90" s="38" t="s">
        <v>50</v>
      </c>
      <c r="AU90" s="38" t="s">
        <v>50</v>
      </c>
      <c r="AV90" s="37" t="s">
        <v>50</v>
      </c>
      <c r="AW90" s="37" t="s">
        <v>50</v>
      </c>
      <c r="AX90" s="37" t="s">
        <v>50</v>
      </c>
      <c r="AY90" s="37" t="s">
        <v>50</v>
      </c>
      <c r="AZ90" s="37" t="s">
        <v>50</v>
      </c>
      <c r="BA90" s="37" t="s">
        <v>50</v>
      </c>
      <c r="BB90" s="37" t="s">
        <v>50</v>
      </c>
      <c r="BC90" s="37">
        <v>36944.828125189546</v>
      </c>
      <c r="BD90" s="37">
        <v>39280.51386478958</v>
      </c>
      <c r="BE90" s="37">
        <v>39826.686609928918</v>
      </c>
      <c r="BF90" s="37">
        <v>39673.456166150361</v>
      </c>
      <c r="BG90" s="37">
        <v>47378.601192450529</v>
      </c>
      <c r="BH90" s="37">
        <v>48018.319627729958</v>
      </c>
      <c r="BI90" s="37">
        <v>48234.444810560359</v>
      </c>
      <c r="BJ90" s="37">
        <v>52405.978852079774</v>
      </c>
      <c r="BK90" s="106">
        <v>51611.507825489694</v>
      </c>
      <c r="BL90" s="106">
        <v>52460.923702020162</v>
      </c>
      <c r="BM90" s="106">
        <v>58670.65636810947</v>
      </c>
      <c r="BN90" s="106">
        <v>57897.20201168974</v>
      </c>
      <c r="BO90" s="106">
        <v>61606.942016488974</v>
      </c>
      <c r="BP90" s="108">
        <v>64355.703086918802</v>
      </c>
      <c r="BQ90" s="106">
        <v>66065.058956369248</v>
      </c>
      <c r="BR90" s="108">
        <v>63641.175791559654</v>
      </c>
      <c r="BS90" s="106">
        <v>64270.619881639708</v>
      </c>
      <c r="BT90" s="106">
        <v>67361.11730274916</v>
      </c>
      <c r="BU90" s="106">
        <v>71851.336096988191</v>
      </c>
      <c r="BV90" s="106">
        <v>61777.923713138603</v>
      </c>
      <c r="BW90" s="107">
        <v>69613.716306918752</v>
      </c>
      <c r="BX90" s="107">
        <v>74486.950347450256</v>
      </c>
      <c r="BY90" s="107">
        <v>77193.205675468867</v>
      </c>
      <c r="BZ90" s="106">
        <v>82037.313409409617</v>
      </c>
      <c r="CA90" s="106">
        <v>72409.930963479623</v>
      </c>
      <c r="CB90" s="106">
        <v>88314.407320739658</v>
      </c>
      <c r="CC90" s="106">
        <v>102922.85997922787</v>
      </c>
      <c r="CD90" s="106">
        <v>113446.87683899017</v>
      </c>
      <c r="CE90" s="106">
        <v>131330.92933414975</v>
      </c>
      <c r="CF90" s="329">
        <v>145686.3886240705</v>
      </c>
      <c r="CG90" s="468"/>
      <c r="CH90" s="457"/>
      <c r="CI90" s="457"/>
      <c r="CJ90" s="457"/>
      <c r="CK90" s="457"/>
      <c r="CL90" s="457"/>
      <c r="CM90" s="457"/>
      <c r="CN90" s="457"/>
      <c r="CO90" s="457"/>
      <c r="CP90" s="457"/>
    </row>
    <row r="91" spans="1:97" x14ac:dyDescent="0.2">
      <c r="A91" s="104" t="s">
        <v>166</v>
      </c>
      <c r="B91" s="7"/>
      <c r="C91" s="106" t="s">
        <v>50</v>
      </c>
      <c r="D91" s="106" t="s">
        <v>50</v>
      </c>
      <c r="E91" s="106" t="s">
        <v>50</v>
      </c>
      <c r="F91" s="106" t="s">
        <v>50</v>
      </c>
      <c r="G91" s="106" t="s">
        <v>50</v>
      </c>
      <c r="H91" s="106" t="s">
        <v>50</v>
      </c>
      <c r="I91" s="106" t="s">
        <v>50</v>
      </c>
      <c r="J91" s="106" t="s">
        <v>50</v>
      </c>
      <c r="K91" s="106" t="s">
        <v>50</v>
      </c>
      <c r="L91" s="106" t="s">
        <v>50</v>
      </c>
      <c r="M91" s="106" t="s">
        <v>50</v>
      </c>
      <c r="N91" s="106" t="s">
        <v>50</v>
      </c>
      <c r="O91" s="106" t="s">
        <v>50</v>
      </c>
      <c r="P91" s="106" t="s">
        <v>50</v>
      </c>
      <c r="Q91" s="106" t="s">
        <v>50</v>
      </c>
      <c r="R91" s="106" t="s">
        <v>50</v>
      </c>
      <c r="S91" s="106" t="s">
        <v>50</v>
      </c>
      <c r="T91" s="106" t="s">
        <v>50</v>
      </c>
      <c r="U91" s="106" t="s">
        <v>50</v>
      </c>
      <c r="V91" s="106" t="s">
        <v>50</v>
      </c>
      <c r="W91" s="106" t="s">
        <v>50</v>
      </c>
      <c r="X91" s="106" t="s">
        <v>50</v>
      </c>
      <c r="Y91" s="106" t="s">
        <v>50</v>
      </c>
      <c r="Z91" s="106" t="s">
        <v>50</v>
      </c>
      <c r="AA91" s="106">
        <v>72.665999999999997</v>
      </c>
      <c r="AB91" s="106">
        <v>96.496818320000159</v>
      </c>
      <c r="AC91" s="107">
        <v>111.47804499999999</v>
      </c>
      <c r="AD91" s="107">
        <v>138.80000000000001</v>
      </c>
      <c r="AE91" s="107">
        <v>150.5</v>
      </c>
      <c r="AF91" s="107">
        <v>174.357</v>
      </c>
      <c r="AG91" s="107">
        <v>196.542</v>
      </c>
      <c r="AH91" s="107">
        <v>280.505</v>
      </c>
      <c r="AI91" s="107">
        <v>339.29199999999997</v>
      </c>
      <c r="AJ91" s="106">
        <v>438.03699999999998</v>
      </c>
      <c r="AK91" s="108">
        <v>523.29999999999995</v>
      </c>
      <c r="AL91" s="106">
        <v>633</v>
      </c>
      <c r="AM91" s="107">
        <v>753.81299999999999</v>
      </c>
      <c r="AN91" s="106">
        <v>827.995</v>
      </c>
      <c r="AO91" s="106">
        <v>953.3</v>
      </c>
      <c r="AP91" s="106">
        <v>1114.5999999999999</v>
      </c>
      <c r="AQ91" s="106">
        <v>1215.5</v>
      </c>
      <c r="AR91" s="106">
        <v>1312.931</v>
      </c>
      <c r="AS91" s="108">
        <v>1287.3</v>
      </c>
      <c r="AT91" s="107">
        <v>1466</v>
      </c>
      <c r="AU91" s="107">
        <v>1729.2</v>
      </c>
      <c r="AV91" s="106">
        <v>1868.2</v>
      </c>
      <c r="AW91" s="106">
        <v>2123.9699999999998</v>
      </c>
      <c r="AX91" s="106">
        <v>2397.6</v>
      </c>
      <c r="AY91" s="106">
        <v>2739.6854282599852</v>
      </c>
      <c r="AZ91" s="106">
        <v>3006.7777126399751</v>
      </c>
      <c r="BA91" s="106">
        <v>3434.1442113199582</v>
      </c>
      <c r="BB91" s="106">
        <v>3891.0845771999493</v>
      </c>
      <c r="BC91" s="106">
        <v>4311.0854654801633</v>
      </c>
      <c r="BD91" s="106">
        <v>4904.9153520201307</v>
      </c>
      <c r="BE91" s="106">
        <v>5302.3864101704548</v>
      </c>
      <c r="BF91" s="106">
        <v>5930.8440884998363</v>
      </c>
      <c r="BG91" s="106">
        <v>6997.8010957399783</v>
      </c>
      <c r="BH91" s="106">
        <v>7319.3303543604252</v>
      </c>
      <c r="BI91" s="107">
        <v>7439.6104902804254</v>
      </c>
      <c r="BJ91" s="106">
        <v>8519.5853409607989</v>
      </c>
      <c r="BK91" s="106">
        <v>8837.6605911306178</v>
      </c>
      <c r="BL91" s="106">
        <v>9608.9667541313247</v>
      </c>
      <c r="BM91" s="106">
        <v>10955.424482491146</v>
      </c>
      <c r="BN91" s="106">
        <v>12068.468147511594</v>
      </c>
      <c r="BO91" s="106">
        <v>13301.296280352301</v>
      </c>
      <c r="BP91" s="108">
        <v>14256.603925623283</v>
      </c>
      <c r="BQ91" s="106">
        <v>15066.664870043347</v>
      </c>
      <c r="BR91" s="108">
        <v>16113.825238342812</v>
      </c>
      <c r="BS91" s="106">
        <v>16794.008954713296</v>
      </c>
      <c r="BT91" s="106">
        <v>18360.434954561486</v>
      </c>
      <c r="BU91" s="106">
        <v>19755.286175622045</v>
      </c>
      <c r="BV91" s="106">
        <v>18596.100691792868</v>
      </c>
      <c r="BW91" s="107">
        <v>21290.507663364871</v>
      </c>
      <c r="BX91" s="107">
        <v>22993.108408202639</v>
      </c>
      <c r="BY91" s="107">
        <v>24568.098360191914</v>
      </c>
      <c r="BZ91" s="106">
        <v>26725.620428963008</v>
      </c>
      <c r="CA91" s="106">
        <v>24139.511351494904</v>
      </c>
      <c r="CB91" s="106">
        <v>27938.10754980339</v>
      </c>
      <c r="CC91" s="304">
        <v>31284.024192082808</v>
      </c>
      <c r="CD91" s="304">
        <v>34153.41361508242</v>
      </c>
      <c r="CE91" s="304">
        <v>38381.304905814541</v>
      </c>
      <c r="CF91" s="329">
        <v>41378.803240472625</v>
      </c>
      <c r="CH91" s="457"/>
      <c r="CI91" s="457"/>
      <c r="CJ91" s="457"/>
      <c r="CK91" s="457"/>
      <c r="CL91" s="457"/>
      <c r="CM91" s="457"/>
      <c r="CN91" s="457"/>
      <c r="CO91" s="457"/>
      <c r="CP91" s="457"/>
    </row>
    <row r="92" spans="1:97" x14ac:dyDescent="0.2">
      <c r="A92" s="10"/>
      <c r="B92" s="103"/>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9"/>
      <c r="AD92" s="29"/>
      <c r="AE92" s="29"/>
      <c r="AF92" s="29"/>
      <c r="AG92" s="29"/>
      <c r="AH92" s="29"/>
      <c r="AI92" s="29"/>
      <c r="AJ92" s="28"/>
      <c r="AK92" s="7"/>
      <c r="AL92" s="28"/>
      <c r="AM92" s="29"/>
      <c r="AN92" s="28"/>
      <c r="AO92" s="28"/>
      <c r="AP92" s="28"/>
      <c r="AQ92" s="28"/>
      <c r="AR92" s="28"/>
      <c r="AS92" s="7"/>
      <c r="AT92" s="29"/>
      <c r="AU92" s="29"/>
      <c r="AV92" s="28"/>
      <c r="AW92" s="28"/>
      <c r="AX92" s="28"/>
      <c r="AY92" s="28"/>
      <c r="AZ92" s="28"/>
      <c r="BA92" s="28"/>
      <c r="BB92" s="28"/>
      <c r="BC92" s="28"/>
      <c r="BD92" s="28"/>
      <c r="BE92" s="28"/>
      <c r="BF92" s="28"/>
      <c r="BG92" s="28"/>
      <c r="BH92" s="28"/>
      <c r="BI92" s="29"/>
      <c r="BJ92" s="28"/>
      <c r="BK92" s="28"/>
      <c r="BL92" s="28"/>
      <c r="BM92" s="28"/>
      <c r="BN92" s="28"/>
      <c r="BO92" s="28"/>
      <c r="BP92" s="7"/>
      <c r="BQ92" s="28"/>
      <c r="BR92" s="28"/>
      <c r="BS92" s="28"/>
      <c r="BT92" s="28"/>
      <c r="BU92" s="28"/>
      <c r="BV92" s="28"/>
      <c r="BW92" s="29"/>
      <c r="BX92" s="29"/>
      <c r="BY92" s="29"/>
      <c r="BZ92" s="28"/>
      <c r="CA92" s="28"/>
      <c r="CB92" s="28"/>
      <c r="CC92" s="291"/>
      <c r="CD92" s="291"/>
      <c r="CE92" s="291"/>
      <c r="CF92" s="268"/>
      <c r="CH92" s="457"/>
      <c r="CI92" s="457"/>
      <c r="CJ92" s="457"/>
      <c r="CK92" s="457"/>
      <c r="CL92" s="457"/>
      <c r="CM92" s="457"/>
      <c r="CN92" s="457"/>
      <c r="CO92" s="457"/>
      <c r="CP92" s="457"/>
    </row>
    <row r="93" spans="1:97" x14ac:dyDescent="0.2">
      <c r="A93" s="237" t="s">
        <v>167</v>
      </c>
      <c r="B93" s="103"/>
      <c r="C93" s="7"/>
      <c r="D93" s="28"/>
      <c r="E93" s="28"/>
      <c r="F93" s="7"/>
      <c r="G93" s="28"/>
      <c r="H93" s="28"/>
      <c r="I93" s="28"/>
      <c r="J93" s="28"/>
      <c r="K93" s="28"/>
      <c r="L93" s="28"/>
      <c r="M93" s="28"/>
      <c r="N93" s="28"/>
      <c r="O93" s="28"/>
      <c r="P93" s="28"/>
      <c r="Q93" s="28"/>
      <c r="R93" s="28"/>
      <c r="S93" s="28"/>
      <c r="T93" s="28"/>
      <c r="U93" s="28"/>
      <c r="V93" s="28"/>
      <c r="W93" s="28"/>
      <c r="X93" s="28"/>
      <c r="Y93" s="28"/>
      <c r="Z93" s="28"/>
      <c r="AA93" s="28"/>
      <c r="AB93" s="28"/>
      <c r="AC93" s="7"/>
      <c r="AD93" s="29"/>
      <c r="AE93" s="29"/>
      <c r="AF93" s="29"/>
      <c r="AG93" s="29"/>
      <c r="AH93" s="29"/>
      <c r="AI93" s="29"/>
      <c r="AJ93" s="28"/>
      <c r="AK93" s="7"/>
      <c r="AL93" s="28"/>
      <c r="AM93" s="29"/>
      <c r="AN93" s="28"/>
      <c r="AO93" s="28"/>
      <c r="AP93" s="28"/>
      <c r="AQ93" s="28"/>
      <c r="AR93" s="28"/>
      <c r="AS93" s="7"/>
      <c r="AT93" s="29"/>
      <c r="AU93" s="29"/>
      <c r="AV93" s="28"/>
      <c r="AW93" s="28"/>
      <c r="AX93" s="28"/>
      <c r="AY93" s="28"/>
      <c r="AZ93" s="28"/>
      <c r="BA93" s="28"/>
      <c r="BB93" s="28"/>
      <c r="BC93" s="28"/>
      <c r="BD93" s="28"/>
      <c r="BE93" s="28"/>
      <c r="BF93" s="28"/>
      <c r="BG93" s="28"/>
      <c r="BH93" s="28"/>
      <c r="BI93" s="7"/>
      <c r="BJ93" s="28"/>
      <c r="BK93" s="28"/>
      <c r="BL93" s="28"/>
      <c r="BM93" s="28"/>
      <c r="BN93" s="28"/>
      <c r="BO93" s="28"/>
      <c r="BP93" s="7"/>
      <c r="BQ93" s="28"/>
      <c r="BR93" s="7"/>
      <c r="BS93" s="28"/>
      <c r="BT93" s="28"/>
      <c r="BU93" s="28"/>
      <c r="BV93" s="28"/>
      <c r="BW93" s="29"/>
      <c r="BX93" s="29"/>
      <c r="BY93" s="29"/>
      <c r="BZ93" s="28"/>
      <c r="CA93" s="28"/>
      <c r="CB93" s="28"/>
      <c r="CC93" s="291"/>
      <c r="CD93" s="291"/>
      <c r="CE93" s="291"/>
      <c r="CF93" s="268"/>
      <c r="CH93" s="457"/>
      <c r="CI93" s="457"/>
      <c r="CJ93" s="457"/>
      <c r="CK93" s="457"/>
      <c r="CL93" s="457"/>
      <c r="CM93" s="457"/>
      <c r="CN93" s="457"/>
      <c r="CO93" s="457"/>
      <c r="CP93" s="457"/>
    </row>
    <row r="94" spans="1:97" x14ac:dyDescent="0.2">
      <c r="A94" s="35" t="s">
        <v>168</v>
      </c>
      <c r="B94" s="195"/>
      <c r="C94" s="39" t="s">
        <v>50</v>
      </c>
      <c r="D94" s="37" t="s">
        <v>50</v>
      </c>
      <c r="E94" s="37" t="s">
        <v>50</v>
      </c>
      <c r="F94" s="39" t="s">
        <v>50</v>
      </c>
      <c r="G94" s="37" t="s">
        <v>50</v>
      </c>
      <c r="H94" s="37" t="s">
        <v>50</v>
      </c>
      <c r="I94" s="37" t="s">
        <v>50</v>
      </c>
      <c r="J94" s="37" t="s">
        <v>50</v>
      </c>
      <c r="K94" s="37" t="s">
        <v>50</v>
      </c>
      <c r="L94" s="37" t="s">
        <v>50</v>
      </c>
      <c r="M94" s="37" t="s">
        <v>50</v>
      </c>
      <c r="N94" s="37" t="s">
        <v>50</v>
      </c>
      <c r="O94" s="37" t="s">
        <v>50</v>
      </c>
      <c r="P94" s="37" t="s">
        <v>50</v>
      </c>
      <c r="Q94" s="37" t="s">
        <v>50</v>
      </c>
      <c r="R94" s="37" t="s">
        <v>50</v>
      </c>
      <c r="S94" s="37" t="s">
        <v>50</v>
      </c>
      <c r="T94" s="37" t="s">
        <v>50</v>
      </c>
      <c r="U94" s="37" t="s">
        <v>50</v>
      </c>
      <c r="V94" s="37" t="s">
        <v>50</v>
      </c>
      <c r="W94" s="37" t="s">
        <v>50</v>
      </c>
      <c r="X94" s="37" t="s">
        <v>50</v>
      </c>
      <c r="Y94" s="37" t="s">
        <v>50</v>
      </c>
      <c r="Z94" s="37" t="s">
        <v>50</v>
      </c>
      <c r="AA94" s="37" t="s">
        <v>50</v>
      </c>
      <c r="AB94" s="37" t="s">
        <v>50</v>
      </c>
      <c r="AC94" s="39" t="s">
        <v>50</v>
      </c>
      <c r="AD94" s="38" t="s">
        <v>50</v>
      </c>
      <c r="AE94" s="38" t="s">
        <v>50</v>
      </c>
      <c r="AF94" s="38" t="s">
        <v>50</v>
      </c>
      <c r="AG94" s="38" t="s">
        <v>50</v>
      </c>
      <c r="AH94" s="38" t="s">
        <v>50</v>
      </c>
      <c r="AI94" s="38" t="s">
        <v>50</v>
      </c>
      <c r="AJ94" s="37" t="s">
        <v>50</v>
      </c>
      <c r="AK94" s="39" t="s">
        <v>50</v>
      </c>
      <c r="AL94" s="37" t="s">
        <v>50</v>
      </c>
      <c r="AM94" s="38" t="s">
        <v>50</v>
      </c>
      <c r="AN94" s="37" t="s">
        <v>50</v>
      </c>
      <c r="AO94" s="37" t="s">
        <v>50</v>
      </c>
      <c r="AP94" s="37" t="s">
        <v>50</v>
      </c>
      <c r="AQ94" s="37" t="s">
        <v>50</v>
      </c>
      <c r="AR94" s="37" t="s">
        <v>50</v>
      </c>
      <c r="AS94" s="39" t="s">
        <v>50</v>
      </c>
      <c r="AT94" s="38" t="s">
        <v>50</v>
      </c>
      <c r="AU94" s="38" t="s">
        <v>50</v>
      </c>
      <c r="AV94" s="37" t="s">
        <v>50</v>
      </c>
      <c r="AW94" s="37" t="s">
        <v>50</v>
      </c>
      <c r="AX94" s="37" t="s">
        <v>50</v>
      </c>
      <c r="AY94" s="37" t="s">
        <v>50</v>
      </c>
      <c r="AZ94" s="37" t="s">
        <v>50</v>
      </c>
      <c r="BA94" s="37" t="s">
        <v>50</v>
      </c>
      <c r="BB94" s="37" t="s">
        <v>50</v>
      </c>
      <c r="BC94" s="37" t="s">
        <v>50</v>
      </c>
      <c r="BD94" s="37" t="s">
        <v>50</v>
      </c>
      <c r="BE94" s="37" t="s">
        <v>50</v>
      </c>
      <c r="BF94" s="37">
        <f>+BF97-BF95-BF96</f>
        <v>82019.061029409946</v>
      </c>
      <c r="BG94" s="37">
        <v>97340.090547021333</v>
      </c>
      <c r="BH94" s="37">
        <v>99292.34487350189</v>
      </c>
      <c r="BI94" s="39">
        <v>100065.01771354105</v>
      </c>
      <c r="BJ94" s="37">
        <v>111208.95146228168</v>
      </c>
      <c r="BK94" s="37">
        <v>110751.32749207139</v>
      </c>
      <c r="BL94" s="37">
        <v>114613.40061547107</v>
      </c>
      <c r="BM94" s="37">
        <v>127003.42987181769</v>
      </c>
      <c r="BN94" s="37">
        <v>130339.15425019324</v>
      </c>
      <c r="BO94" s="37">
        <v>139314.82273297734</v>
      </c>
      <c r="BP94" s="39">
        <v>147724.73755277597</v>
      </c>
      <c r="BQ94" s="37">
        <v>153687.79926842012</v>
      </c>
      <c r="BR94" s="39">
        <v>157187.77352014344</v>
      </c>
      <c r="BS94" s="37">
        <v>158855.61128088884</v>
      </c>
      <c r="BT94" s="37">
        <v>168582.03371268147</v>
      </c>
      <c r="BU94" s="37">
        <v>181326.27643196759</v>
      </c>
      <c r="BV94" s="37">
        <v>166362.10075204671</v>
      </c>
      <c r="BW94" s="38">
        <v>186258.2414004973</v>
      </c>
      <c r="BX94" s="38">
        <v>200469.54381484751</v>
      </c>
      <c r="BY94" s="38">
        <v>211257.52945785911</v>
      </c>
      <c r="BZ94" s="37">
        <v>228251.45340364997</v>
      </c>
      <c r="CA94" s="37">
        <v>216223.17195707257</v>
      </c>
      <c r="CB94" s="37">
        <v>256555.80929922214</v>
      </c>
      <c r="CC94" s="292">
        <v>293944.81665315892</v>
      </c>
      <c r="CD94" s="292">
        <v>327705.34571227297</v>
      </c>
      <c r="CE94" s="292">
        <v>379543.96403476864</v>
      </c>
      <c r="CF94" s="326">
        <v>408733.43280764151</v>
      </c>
      <c r="CH94" s="457"/>
      <c r="CI94" s="457"/>
      <c r="CJ94" s="457"/>
      <c r="CK94" s="457"/>
      <c r="CL94" s="457"/>
      <c r="CM94" s="457"/>
      <c r="CN94" s="457"/>
      <c r="CO94" s="457"/>
      <c r="CP94" s="457"/>
    </row>
    <row r="95" spans="1:97" x14ac:dyDescent="0.2">
      <c r="A95" s="43" t="s">
        <v>169</v>
      </c>
      <c r="B95" s="196"/>
      <c r="C95" s="47" t="s">
        <v>50</v>
      </c>
      <c r="D95" s="45" t="s">
        <v>50</v>
      </c>
      <c r="E95" s="45" t="s">
        <v>50</v>
      </c>
      <c r="F95" s="47" t="s">
        <v>50</v>
      </c>
      <c r="G95" s="45" t="s">
        <v>50</v>
      </c>
      <c r="H95" s="45" t="s">
        <v>50</v>
      </c>
      <c r="I95" s="45" t="s">
        <v>50</v>
      </c>
      <c r="J95" s="45" t="s">
        <v>50</v>
      </c>
      <c r="K95" s="45" t="s">
        <v>50</v>
      </c>
      <c r="L95" s="45" t="s">
        <v>50</v>
      </c>
      <c r="M95" s="45" t="s">
        <v>50</v>
      </c>
      <c r="N95" s="45" t="s">
        <v>50</v>
      </c>
      <c r="O95" s="45" t="s">
        <v>50</v>
      </c>
      <c r="P95" s="45" t="s">
        <v>50</v>
      </c>
      <c r="Q95" s="45" t="s">
        <v>50</v>
      </c>
      <c r="R95" s="45" t="s">
        <v>50</v>
      </c>
      <c r="S95" s="45" t="s">
        <v>50</v>
      </c>
      <c r="T95" s="45" t="s">
        <v>50</v>
      </c>
      <c r="U95" s="45" t="s">
        <v>50</v>
      </c>
      <c r="V95" s="45" t="s">
        <v>50</v>
      </c>
      <c r="W95" s="45" t="s">
        <v>50</v>
      </c>
      <c r="X95" s="45" t="s">
        <v>50</v>
      </c>
      <c r="Y95" s="45" t="s">
        <v>50</v>
      </c>
      <c r="Z95" s="45" t="s">
        <v>50</v>
      </c>
      <c r="AA95" s="45" t="s">
        <v>50</v>
      </c>
      <c r="AB95" s="45" t="s">
        <v>50</v>
      </c>
      <c r="AC95" s="47" t="s">
        <v>50</v>
      </c>
      <c r="AD95" s="46" t="s">
        <v>50</v>
      </c>
      <c r="AE95" s="46" t="s">
        <v>50</v>
      </c>
      <c r="AF95" s="46" t="s">
        <v>50</v>
      </c>
      <c r="AG95" s="46" t="s">
        <v>50</v>
      </c>
      <c r="AH95" s="46" t="s">
        <v>50</v>
      </c>
      <c r="AI95" s="46" t="s">
        <v>50</v>
      </c>
      <c r="AJ95" s="45" t="s">
        <v>50</v>
      </c>
      <c r="AK95" s="47" t="s">
        <v>50</v>
      </c>
      <c r="AL95" s="45" t="s">
        <v>50</v>
      </c>
      <c r="AM95" s="46" t="s">
        <v>50</v>
      </c>
      <c r="AN95" s="45" t="s">
        <v>50</v>
      </c>
      <c r="AO95" s="45" t="s">
        <v>50</v>
      </c>
      <c r="AP95" s="45" t="s">
        <v>50</v>
      </c>
      <c r="AQ95" s="45" t="s">
        <v>50</v>
      </c>
      <c r="AR95" s="45" t="s">
        <v>50</v>
      </c>
      <c r="AS95" s="47" t="s">
        <v>50</v>
      </c>
      <c r="AT95" s="46" t="s">
        <v>50</v>
      </c>
      <c r="AU95" s="46" t="s">
        <v>50</v>
      </c>
      <c r="AV95" s="45" t="s">
        <v>50</v>
      </c>
      <c r="AW95" s="45" t="s">
        <v>50</v>
      </c>
      <c r="AX95" s="45" t="s">
        <v>50</v>
      </c>
      <c r="AY95" s="45" t="s">
        <v>50</v>
      </c>
      <c r="AZ95" s="45" t="s">
        <v>50</v>
      </c>
      <c r="BA95" s="45" t="s">
        <v>50</v>
      </c>
      <c r="BB95" s="45" t="s">
        <v>50</v>
      </c>
      <c r="BC95" s="45" t="s">
        <v>50</v>
      </c>
      <c r="BD95" s="45" t="s">
        <v>50</v>
      </c>
      <c r="BE95" s="45" t="s">
        <v>50</v>
      </c>
      <c r="BF95" s="45">
        <v>60790.146991810048</v>
      </c>
      <c r="BG95" s="45">
        <v>71874.416457370084</v>
      </c>
      <c r="BH95" s="45">
        <v>71431.761874479809</v>
      </c>
      <c r="BI95" s="47">
        <v>71521.390889819755</v>
      </c>
      <c r="BJ95" s="45">
        <v>80613.59602131987</v>
      </c>
      <c r="BK95" s="45">
        <v>78373.507372880034</v>
      </c>
      <c r="BL95" s="45">
        <v>84855.972122179694</v>
      </c>
      <c r="BM95" s="45">
        <v>96187.33700462975</v>
      </c>
      <c r="BN95" s="45">
        <v>100916.58799842992</v>
      </c>
      <c r="BO95" s="45">
        <v>107310.55548872988</v>
      </c>
      <c r="BP95" s="47">
        <v>113338.40424046987</v>
      </c>
      <c r="BQ95" s="45">
        <v>117814.47099163938</v>
      </c>
      <c r="BR95" s="47">
        <v>115813.57226822867</v>
      </c>
      <c r="BS95" s="45">
        <v>119662.16057251986</v>
      </c>
      <c r="BT95" s="45">
        <v>127139.21811291925</v>
      </c>
      <c r="BU95" s="45">
        <v>136869.92597008985</v>
      </c>
      <c r="BV95" s="45">
        <v>122021.51691237986</v>
      </c>
      <c r="BW95" s="46">
        <v>136176.43708045929</v>
      </c>
      <c r="BX95" s="46">
        <v>145623.40113168041</v>
      </c>
      <c r="BY95" s="46">
        <v>151772.52774572023</v>
      </c>
      <c r="BZ95" s="45">
        <v>164495.6456089296</v>
      </c>
      <c r="CA95" s="45">
        <v>139687.78352717913</v>
      </c>
      <c r="CB95" s="45">
        <v>172101.57666771003</v>
      </c>
      <c r="CC95" s="293">
        <v>200847.93112338983</v>
      </c>
      <c r="CD95" s="293">
        <v>221280.97164359046</v>
      </c>
      <c r="CE95" s="293">
        <v>249035.10966642899</v>
      </c>
      <c r="CF95" s="327">
        <v>277235.44120501942</v>
      </c>
      <c r="CH95" s="457"/>
      <c r="CI95" s="457"/>
      <c r="CJ95" s="457"/>
      <c r="CK95" s="457"/>
      <c r="CL95" s="457"/>
      <c r="CM95" s="457"/>
      <c r="CN95" s="457"/>
      <c r="CO95" s="457"/>
      <c r="CP95" s="457"/>
    </row>
    <row r="96" spans="1:97" x14ac:dyDescent="0.2">
      <c r="A96" s="43" t="s">
        <v>170</v>
      </c>
      <c r="B96" s="196"/>
      <c r="C96" s="47" t="s">
        <v>50</v>
      </c>
      <c r="D96" s="45" t="s">
        <v>50</v>
      </c>
      <c r="E96" s="45" t="s">
        <v>50</v>
      </c>
      <c r="F96" s="47" t="s">
        <v>50</v>
      </c>
      <c r="G96" s="45" t="s">
        <v>50</v>
      </c>
      <c r="H96" s="45" t="s">
        <v>50</v>
      </c>
      <c r="I96" s="45" t="s">
        <v>50</v>
      </c>
      <c r="J96" s="45" t="s">
        <v>50</v>
      </c>
      <c r="K96" s="45" t="s">
        <v>50</v>
      </c>
      <c r="L96" s="45" t="s">
        <v>50</v>
      </c>
      <c r="M96" s="45" t="s">
        <v>50</v>
      </c>
      <c r="N96" s="45" t="s">
        <v>50</v>
      </c>
      <c r="O96" s="45" t="s">
        <v>50</v>
      </c>
      <c r="P96" s="45" t="s">
        <v>50</v>
      </c>
      <c r="Q96" s="45" t="s">
        <v>50</v>
      </c>
      <c r="R96" s="45" t="s">
        <v>50</v>
      </c>
      <c r="S96" s="45" t="s">
        <v>50</v>
      </c>
      <c r="T96" s="45" t="s">
        <v>50</v>
      </c>
      <c r="U96" s="45" t="s">
        <v>50</v>
      </c>
      <c r="V96" s="45" t="s">
        <v>50</v>
      </c>
      <c r="W96" s="45" t="s">
        <v>50</v>
      </c>
      <c r="X96" s="45" t="s">
        <v>50</v>
      </c>
      <c r="Y96" s="45" t="s">
        <v>50</v>
      </c>
      <c r="Z96" s="45" t="s">
        <v>50</v>
      </c>
      <c r="AA96" s="45" t="s">
        <v>50</v>
      </c>
      <c r="AB96" s="45" t="s">
        <v>50</v>
      </c>
      <c r="AC96" s="47" t="s">
        <v>50</v>
      </c>
      <c r="AD96" s="46" t="s">
        <v>50</v>
      </c>
      <c r="AE96" s="46" t="s">
        <v>50</v>
      </c>
      <c r="AF96" s="46" t="s">
        <v>50</v>
      </c>
      <c r="AG96" s="46" t="s">
        <v>50</v>
      </c>
      <c r="AH96" s="46" t="s">
        <v>50</v>
      </c>
      <c r="AI96" s="46" t="s">
        <v>50</v>
      </c>
      <c r="AJ96" s="45" t="s">
        <v>50</v>
      </c>
      <c r="AK96" s="47" t="s">
        <v>50</v>
      </c>
      <c r="AL96" s="45" t="s">
        <v>50</v>
      </c>
      <c r="AM96" s="46" t="s">
        <v>50</v>
      </c>
      <c r="AN96" s="45" t="s">
        <v>50</v>
      </c>
      <c r="AO96" s="45" t="s">
        <v>50</v>
      </c>
      <c r="AP96" s="45" t="s">
        <v>50</v>
      </c>
      <c r="AQ96" s="45" t="s">
        <v>50</v>
      </c>
      <c r="AR96" s="45" t="s">
        <v>50</v>
      </c>
      <c r="AS96" s="47" t="s">
        <v>50</v>
      </c>
      <c r="AT96" s="46" t="s">
        <v>50</v>
      </c>
      <c r="AU96" s="46" t="s">
        <v>50</v>
      </c>
      <c r="AV96" s="45" t="s">
        <v>50</v>
      </c>
      <c r="AW96" s="45" t="s">
        <v>50</v>
      </c>
      <c r="AX96" s="45" t="s">
        <v>50</v>
      </c>
      <c r="AY96" s="45" t="s">
        <v>50</v>
      </c>
      <c r="AZ96" s="45" t="s">
        <v>50</v>
      </c>
      <c r="BA96" s="45" t="s">
        <v>50</v>
      </c>
      <c r="BB96" s="45" t="s">
        <v>50</v>
      </c>
      <c r="BC96" s="45" t="s">
        <v>50</v>
      </c>
      <c r="BD96" s="45" t="s">
        <v>50</v>
      </c>
      <c r="BE96" s="45" t="s">
        <v>50</v>
      </c>
      <c r="BF96" s="45">
        <v>4466.5122217599965</v>
      </c>
      <c r="BG96" s="45">
        <v>4830.4452738099944</v>
      </c>
      <c r="BH96" s="45">
        <v>5065.3978426699923</v>
      </c>
      <c r="BI96" s="47">
        <v>5024.9798729400054</v>
      </c>
      <c r="BJ96" s="45">
        <v>6366.6468752899973</v>
      </c>
      <c r="BK96" s="45">
        <v>6502.1315701599924</v>
      </c>
      <c r="BL96" s="45">
        <v>6389.1762933999926</v>
      </c>
      <c r="BM96" s="45">
        <v>7237.8288853200029</v>
      </c>
      <c r="BN96" s="45">
        <v>7889.0247029300044</v>
      </c>
      <c r="BO96" s="45">
        <v>8426.0101067200485</v>
      </c>
      <c r="BP96" s="47">
        <v>9285.6983306600323</v>
      </c>
      <c r="BQ96" s="45">
        <v>9475.6149352800276</v>
      </c>
      <c r="BR96" s="47">
        <v>9929.6592938000449</v>
      </c>
      <c r="BS96" s="45">
        <v>10202.859153010009</v>
      </c>
      <c r="BT96" s="45">
        <v>11422.237769740019</v>
      </c>
      <c r="BU96" s="45">
        <v>12786.660622210025</v>
      </c>
      <c r="BV96" s="45">
        <v>11595.686177000007</v>
      </c>
      <c r="BW96" s="46">
        <v>13232.927021350009</v>
      </c>
      <c r="BX96" s="46">
        <v>13193.197216680015</v>
      </c>
      <c r="BY96" s="46">
        <v>14054.381786420017</v>
      </c>
      <c r="BZ96" s="45">
        <v>14971.624459720008</v>
      </c>
      <c r="CA96" s="45">
        <v>12253.810549890002</v>
      </c>
      <c r="CB96" s="45">
        <v>15922.416580610035</v>
      </c>
      <c r="CC96" s="293">
        <v>19399.544640710028</v>
      </c>
      <c r="CD96" s="293">
        <v>21522.825851180045</v>
      </c>
      <c r="CE96" s="293">
        <v>25365.551689319986</v>
      </c>
      <c r="CF96" s="327">
        <v>27603.978621060003</v>
      </c>
      <c r="CH96" s="457"/>
      <c r="CI96" s="457"/>
      <c r="CJ96" s="457"/>
      <c r="CK96" s="457"/>
      <c r="CL96" s="457"/>
      <c r="CM96" s="457"/>
      <c r="CN96" s="457"/>
      <c r="CO96" s="457"/>
      <c r="CP96" s="457"/>
    </row>
    <row r="97" spans="1:97" x14ac:dyDescent="0.2">
      <c r="A97" s="50" t="s">
        <v>204</v>
      </c>
      <c r="B97" s="210"/>
      <c r="C97" s="52" t="s">
        <v>50</v>
      </c>
      <c r="D97" s="52" t="s">
        <v>50</v>
      </c>
      <c r="E97" s="52" t="s">
        <v>50</v>
      </c>
      <c r="F97" s="52" t="s">
        <v>50</v>
      </c>
      <c r="G97" s="52" t="s">
        <v>50</v>
      </c>
      <c r="H97" s="52" t="s">
        <v>50</v>
      </c>
      <c r="I97" s="52" t="s">
        <v>50</v>
      </c>
      <c r="J97" s="52" t="s">
        <v>50</v>
      </c>
      <c r="K97" s="52" t="s">
        <v>50</v>
      </c>
      <c r="L97" s="52" t="s">
        <v>50</v>
      </c>
      <c r="M97" s="52" t="s">
        <v>50</v>
      </c>
      <c r="N97" s="52" t="s">
        <v>50</v>
      </c>
      <c r="O97" s="52" t="s">
        <v>50</v>
      </c>
      <c r="P97" s="52" t="s">
        <v>50</v>
      </c>
      <c r="Q97" s="52" t="s">
        <v>50</v>
      </c>
      <c r="R97" s="52" t="s">
        <v>50</v>
      </c>
      <c r="S97" s="52" t="s">
        <v>50</v>
      </c>
      <c r="T97" s="52" t="s">
        <v>50</v>
      </c>
      <c r="U97" s="52" t="s">
        <v>50</v>
      </c>
      <c r="V97" s="52" t="s">
        <v>50</v>
      </c>
      <c r="W97" s="52" t="s">
        <v>50</v>
      </c>
      <c r="X97" s="52" t="s">
        <v>50</v>
      </c>
      <c r="Y97" s="52" t="s">
        <v>50</v>
      </c>
      <c r="Z97" s="52" t="s">
        <v>50</v>
      </c>
      <c r="AA97" s="52" t="s">
        <v>50</v>
      </c>
      <c r="AB97" s="52" t="s">
        <v>50</v>
      </c>
      <c r="AC97" s="52" t="s">
        <v>50</v>
      </c>
      <c r="AD97" s="52" t="s">
        <v>50</v>
      </c>
      <c r="AE97" s="52" t="s">
        <v>50</v>
      </c>
      <c r="AF97" s="52" t="s">
        <v>50</v>
      </c>
      <c r="AG97" s="52" t="s">
        <v>50</v>
      </c>
      <c r="AH97" s="52" t="s">
        <v>50</v>
      </c>
      <c r="AI97" s="52" t="s">
        <v>50</v>
      </c>
      <c r="AJ97" s="52" t="s">
        <v>50</v>
      </c>
      <c r="AK97" s="52" t="s">
        <v>50</v>
      </c>
      <c r="AL97" s="52" t="s">
        <v>50</v>
      </c>
      <c r="AM97" s="52" t="s">
        <v>50</v>
      </c>
      <c r="AN97" s="52" t="s">
        <v>50</v>
      </c>
      <c r="AO97" s="52" t="s">
        <v>50</v>
      </c>
      <c r="AP97" s="52" t="s">
        <v>50</v>
      </c>
      <c r="AQ97" s="52" t="s">
        <v>50</v>
      </c>
      <c r="AR97" s="52" t="s">
        <v>50</v>
      </c>
      <c r="AS97" s="52" t="s">
        <v>50</v>
      </c>
      <c r="AT97" s="52" t="s">
        <v>50</v>
      </c>
      <c r="AU97" s="52" t="s">
        <v>50</v>
      </c>
      <c r="AV97" s="52" t="s">
        <v>50</v>
      </c>
      <c r="AW97" s="52" t="s">
        <v>50</v>
      </c>
      <c r="AX97" s="52" t="s">
        <v>50</v>
      </c>
      <c r="AY97" s="52" t="s">
        <v>50</v>
      </c>
      <c r="AZ97" s="52" t="s">
        <v>50</v>
      </c>
      <c r="BA97" s="52" t="s">
        <v>50</v>
      </c>
      <c r="BB97" s="52" t="s">
        <v>50</v>
      </c>
      <c r="BC97" s="52" t="s">
        <v>50</v>
      </c>
      <c r="BD97" s="52" t="s">
        <v>50</v>
      </c>
      <c r="BE97" s="52" t="s">
        <v>50</v>
      </c>
      <c r="BF97" s="52">
        <f>+BF88</f>
        <v>147275.72024297999</v>
      </c>
      <c r="BG97" s="52">
        <f t="shared" ref="BG97:BT97" si="94">SUM(BG94:BG96)</f>
        <v>174044.95227820141</v>
      </c>
      <c r="BH97" s="52">
        <f t="shared" si="94"/>
        <v>175789.50459065169</v>
      </c>
      <c r="BI97" s="52">
        <f t="shared" si="94"/>
        <v>176611.38847630081</v>
      </c>
      <c r="BJ97" s="52">
        <f t="shared" si="94"/>
        <v>198189.19435889155</v>
      </c>
      <c r="BK97" s="52">
        <f t="shared" si="94"/>
        <v>195626.96643511142</v>
      </c>
      <c r="BL97" s="52">
        <f t="shared" si="94"/>
        <v>205858.54903105076</v>
      </c>
      <c r="BM97" s="52">
        <f t="shared" si="94"/>
        <v>230428.59576176741</v>
      </c>
      <c r="BN97" s="52">
        <f t="shared" si="94"/>
        <v>239144.76695155317</v>
      </c>
      <c r="BO97" s="52">
        <f t="shared" si="94"/>
        <v>255051.38832842727</v>
      </c>
      <c r="BP97" s="52">
        <f t="shared" si="94"/>
        <v>270348.84012390592</v>
      </c>
      <c r="BQ97" s="52">
        <f t="shared" si="94"/>
        <v>280977.88519533956</v>
      </c>
      <c r="BR97" s="52">
        <f t="shared" si="94"/>
        <v>282931.00508217217</v>
      </c>
      <c r="BS97" s="52">
        <f t="shared" si="94"/>
        <v>288720.63100641873</v>
      </c>
      <c r="BT97" s="52">
        <f t="shared" si="94"/>
        <v>307143.48959534074</v>
      </c>
      <c r="BU97" s="52">
        <f t="shared" ref="BU97:BZ97" si="95">SUM(BU94:BU96)</f>
        <v>330982.86302426748</v>
      </c>
      <c r="BV97" s="52">
        <f t="shared" si="95"/>
        <v>299979.30384142656</v>
      </c>
      <c r="BW97" s="54">
        <f t="shared" si="95"/>
        <v>335667.6055023066</v>
      </c>
      <c r="BX97" s="54">
        <f>SUM(BX94:BX96)</f>
        <v>359286.14216320799</v>
      </c>
      <c r="BY97" s="54">
        <f>SUM(BY94:BY96)</f>
        <v>377084.43898999935</v>
      </c>
      <c r="BZ97" s="52">
        <f t="shared" si="95"/>
        <v>407718.72347229952</v>
      </c>
      <c r="CA97" s="52">
        <f t="shared" ref="CA97:CF97" si="96">SUM(CA94:CA96)</f>
        <v>368164.76603414171</v>
      </c>
      <c r="CB97" s="52">
        <f t="shared" si="96"/>
        <v>444579.8025475422</v>
      </c>
      <c r="CC97" s="294">
        <f t="shared" si="96"/>
        <v>514192.29241725878</v>
      </c>
      <c r="CD97" s="294">
        <f t="shared" si="96"/>
        <v>570509.14320704341</v>
      </c>
      <c r="CE97" s="294">
        <f t="shared" si="96"/>
        <v>653944.62539051764</v>
      </c>
      <c r="CF97" s="271">
        <f t="shared" si="96"/>
        <v>713572.85263372096</v>
      </c>
      <c r="CH97" s="457"/>
      <c r="CI97" s="457"/>
      <c r="CJ97" s="457"/>
      <c r="CK97" s="457"/>
      <c r="CL97" s="457"/>
      <c r="CM97" s="457"/>
      <c r="CN97" s="457"/>
      <c r="CO97" s="457"/>
      <c r="CP97" s="457"/>
    </row>
    <row r="98" spans="1:97" x14ac:dyDescent="0.2">
      <c r="A98" s="10"/>
      <c r="B98" s="103"/>
      <c r="C98" s="7"/>
      <c r="D98" s="28"/>
      <c r="E98" s="28"/>
      <c r="F98" s="7"/>
      <c r="G98" s="28"/>
      <c r="H98" s="28"/>
      <c r="I98" s="28"/>
      <c r="J98" s="28"/>
      <c r="K98" s="28"/>
      <c r="L98" s="28"/>
      <c r="M98" s="28"/>
      <c r="N98" s="28"/>
      <c r="O98" s="28"/>
      <c r="P98" s="28"/>
      <c r="Q98" s="28"/>
      <c r="R98" s="28"/>
      <c r="S98" s="28"/>
      <c r="T98" s="28"/>
      <c r="U98" s="28"/>
      <c r="V98" s="28"/>
      <c r="W98" s="28"/>
      <c r="X98" s="28"/>
      <c r="Y98" s="28"/>
      <c r="Z98" s="28"/>
      <c r="AA98" s="28"/>
      <c r="AB98" s="28"/>
      <c r="AC98" s="7"/>
      <c r="AD98" s="29"/>
      <c r="AE98" s="29"/>
      <c r="AF98" s="29"/>
      <c r="AG98" s="29"/>
      <c r="AH98" s="29"/>
      <c r="AI98" s="29"/>
      <c r="AJ98" s="28"/>
      <c r="AK98" s="7"/>
      <c r="AL98" s="28"/>
      <c r="AM98" s="29"/>
      <c r="AN98" s="28"/>
      <c r="AO98" s="28"/>
      <c r="AP98" s="28"/>
      <c r="AQ98" s="28"/>
      <c r="AR98" s="28"/>
      <c r="AS98" s="7"/>
      <c r="AT98" s="29"/>
      <c r="AU98" s="29"/>
      <c r="AV98" s="28"/>
      <c r="AW98" s="28"/>
      <c r="AX98" s="28"/>
      <c r="AY98" s="28"/>
      <c r="AZ98" s="28"/>
      <c r="BA98" s="28"/>
      <c r="BB98" s="28"/>
      <c r="BC98" s="28"/>
      <c r="BD98" s="28"/>
      <c r="BE98" s="28"/>
      <c r="BF98" s="28"/>
      <c r="BG98" s="28"/>
      <c r="BH98" s="28"/>
      <c r="BI98" s="7"/>
      <c r="BJ98" s="28"/>
      <c r="BK98" s="28"/>
      <c r="BL98" s="28"/>
      <c r="BM98" s="28"/>
      <c r="BN98" s="28"/>
      <c r="BO98" s="28"/>
      <c r="BP98" s="7"/>
      <c r="BQ98" s="28"/>
      <c r="BR98" s="7"/>
      <c r="BS98" s="28"/>
      <c r="BT98" s="28"/>
      <c r="BU98" s="28"/>
      <c r="BV98" s="28"/>
      <c r="BW98" s="29"/>
      <c r="BX98" s="29"/>
      <c r="BY98" s="29"/>
      <c r="BZ98" s="28"/>
      <c r="CA98" s="28"/>
      <c r="CB98" s="28"/>
      <c r="CC98" s="291"/>
      <c r="CD98" s="291"/>
      <c r="CE98" s="291"/>
      <c r="CF98" s="268"/>
      <c r="CH98" s="457"/>
      <c r="CI98" s="457"/>
      <c r="CJ98" s="457"/>
      <c r="CK98" s="457"/>
      <c r="CL98" s="457"/>
      <c r="CM98" s="457"/>
      <c r="CN98" s="457"/>
      <c r="CO98" s="457"/>
      <c r="CP98" s="457"/>
    </row>
    <row r="99" spans="1:97" x14ac:dyDescent="0.2">
      <c r="A99" s="237" t="s">
        <v>171</v>
      </c>
      <c r="B99" s="103"/>
      <c r="C99" s="7"/>
      <c r="D99" s="28"/>
      <c r="E99" s="28"/>
      <c r="F99" s="7"/>
      <c r="G99" s="28"/>
      <c r="H99" s="28"/>
      <c r="I99" s="28"/>
      <c r="J99" s="28"/>
      <c r="K99" s="28"/>
      <c r="L99" s="28"/>
      <c r="M99" s="28"/>
      <c r="N99" s="28"/>
      <c r="O99" s="28"/>
      <c r="P99" s="28"/>
      <c r="Q99" s="28"/>
      <c r="R99" s="28"/>
      <c r="S99" s="28"/>
      <c r="T99" s="28"/>
      <c r="U99" s="28"/>
      <c r="V99" s="28"/>
      <c r="W99" s="28"/>
      <c r="X99" s="28"/>
      <c r="Y99" s="28"/>
      <c r="Z99" s="28"/>
      <c r="AA99" s="28"/>
      <c r="AB99" s="28"/>
      <c r="AC99" s="7"/>
      <c r="AD99" s="29"/>
      <c r="AE99" s="29"/>
      <c r="AF99" s="29"/>
      <c r="AG99" s="29"/>
      <c r="AH99" s="29"/>
      <c r="AI99" s="29"/>
      <c r="AJ99" s="28"/>
      <c r="AK99" s="7"/>
      <c r="AL99" s="28"/>
      <c r="AM99" s="29"/>
      <c r="AN99" s="28"/>
      <c r="AO99" s="28"/>
      <c r="AP99" s="28"/>
      <c r="AQ99" s="28"/>
      <c r="AR99" s="28"/>
      <c r="AS99" s="7"/>
      <c r="AT99" s="29"/>
      <c r="AU99" s="29"/>
      <c r="AV99" s="28"/>
      <c r="AW99" s="28"/>
      <c r="AX99" s="28"/>
      <c r="AY99" s="28"/>
      <c r="AZ99" s="28"/>
      <c r="BA99" s="28"/>
      <c r="BB99" s="28"/>
      <c r="BC99" s="28"/>
      <c r="BD99" s="28"/>
      <c r="BE99" s="28"/>
      <c r="BF99" s="28"/>
      <c r="BG99" s="28"/>
      <c r="BH99" s="28"/>
      <c r="BI99" s="7"/>
      <c r="BJ99" s="28"/>
      <c r="BK99" s="28"/>
      <c r="BL99" s="28"/>
      <c r="BM99" s="28"/>
      <c r="BN99" s="28"/>
      <c r="BO99" s="28"/>
      <c r="BP99" s="7"/>
      <c r="BQ99" s="28"/>
      <c r="BR99" s="7"/>
      <c r="BS99" s="28"/>
      <c r="BT99" s="28"/>
      <c r="BU99" s="28"/>
      <c r="BV99" s="28"/>
      <c r="BW99" s="29"/>
      <c r="BX99" s="29"/>
      <c r="BY99" s="29"/>
      <c r="BZ99" s="28"/>
      <c r="CA99" s="28"/>
      <c r="CB99" s="28"/>
      <c r="CC99" s="291"/>
      <c r="CD99" s="291"/>
      <c r="CE99" s="291"/>
      <c r="CF99" s="268"/>
      <c r="CH99" s="457"/>
      <c r="CI99" s="457"/>
      <c r="CJ99" s="457"/>
      <c r="CK99" s="457"/>
      <c r="CL99" s="457"/>
      <c r="CM99" s="457"/>
      <c r="CN99" s="457"/>
      <c r="CO99" s="457"/>
      <c r="CP99" s="457"/>
    </row>
    <row r="100" spans="1:97" x14ac:dyDescent="0.2">
      <c r="A100" s="35" t="s">
        <v>172</v>
      </c>
      <c r="B100" s="195">
        <v>-61.1</v>
      </c>
      <c r="C100" s="39">
        <v>91.8</v>
      </c>
      <c r="D100" s="37">
        <v>86.5</v>
      </c>
      <c r="E100" s="37">
        <v>155</v>
      </c>
      <c r="F100" s="39">
        <v>214.4</v>
      </c>
      <c r="G100" s="37">
        <v>281.2</v>
      </c>
      <c r="H100" s="37">
        <v>191.7</v>
      </c>
      <c r="I100" s="37">
        <v>179.6</v>
      </c>
      <c r="J100" s="37">
        <v>247.9</v>
      </c>
      <c r="K100" s="37">
        <v>237.1</v>
      </c>
      <c r="L100" s="37">
        <v>267.89999999999998</v>
      </c>
      <c r="M100" s="37">
        <v>413.5</v>
      </c>
      <c r="N100" s="37">
        <v>491.2</v>
      </c>
      <c r="O100" s="37">
        <v>707.1</v>
      </c>
      <c r="P100" s="37">
        <v>894.6</v>
      </c>
      <c r="Q100" s="37">
        <v>881.5</v>
      </c>
      <c r="R100" s="37">
        <v>1100</v>
      </c>
      <c r="S100" s="37">
        <v>1281.5</v>
      </c>
      <c r="T100" s="37">
        <v>1241.0999999999999</v>
      </c>
      <c r="U100" s="37">
        <v>1607.6</v>
      </c>
      <c r="V100" s="37">
        <v>2052.4</v>
      </c>
      <c r="W100" s="37">
        <v>2369.1999999999998</v>
      </c>
      <c r="X100" s="37">
        <v>1893.7</v>
      </c>
      <c r="Y100" s="37">
        <v>2015.4</v>
      </c>
      <c r="Z100" s="37">
        <v>2290.3000000000002</v>
      </c>
      <c r="AA100" s="37">
        <v>2206.9</v>
      </c>
      <c r="AB100" s="37">
        <v>2230</v>
      </c>
      <c r="AC100" s="39">
        <v>2260</v>
      </c>
      <c r="AD100" s="38">
        <v>2301</v>
      </c>
      <c r="AE100" s="38">
        <v>2370</v>
      </c>
      <c r="AF100" s="38">
        <v>2328</v>
      </c>
      <c r="AG100" s="38">
        <v>1832</v>
      </c>
      <c r="AH100" s="38">
        <v>1253</v>
      </c>
      <c r="AI100" s="38">
        <v>1497</v>
      </c>
      <c r="AJ100" s="37">
        <v>1997</v>
      </c>
      <c r="AK100" s="38">
        <v>2608</v>
      </c>
      <c r="AL100" s="37">
        <v>3125</v>
      </c>
      <c r="AM100" s="38">
        <v>3774</v>
      </c>
      <c r="AN100" s="37">
        <v>3840</v>
      </c>
      <c r="AO100" s="37">
        <v>3892</v>
      </c>
      <c r="AP100" s="37">
        <v>3861</v>
      </c>
      <c r="AQ100" s="37">
        <v>4667</v>
      </c>
      <c r="AR100" s="37">
        <v>4050</v>
      </c>
      <c r="AS100" s="39">
        <v>2819</v>
      </c>
      <c r="AT100" s="38">
        <v>2557</v>
      </c>
      <c r="AU100" s="38">
        <v>3246</v>
      </c>
      <c r="AV100" s="37">
        <v>2695</v>
      </c>
      <c r="AW100" s="37">
        <v>2778</v>
      </c>
      <c r="AX100" s="37">
        <v>2861</v>
      </c>
      <c r="AY100" s="37">
        <v>3072</v>
      </c>
      <c r="AZ100" s="37">
        <v>2912</v>
      </c>
      <c r="BA100" s="37">
        <v>3130</v>
      </c>
      <c r="BB100" s="37">
        <v>3286</v>
      </c>
      <c r="BC100" s="37">
        <v>4075</v>
      </c>
      <c r="BD100" s="37">
        <v>4496</v>
      </c>
      <c r="BE100" s="37">
        <v>4925</v>
      </c>
      <c r="BF100" s="37">
        <v>5348.72024297998</v>
      </c>
      <c r="BG100" s="37">
        <v>5822</v>
      </c>
      <c r="BH100" s="37">
        <v>5747</v>
      </c>
      <c r="BI100" s="39">
        <v>5879</v>
      </c>
      <c r="BJ100" s="37">
        <v>6540.2121438000004</v>
      </c>
      <c r="BK100" s="37">
        <v>6688.5912854099997</v>
      </c>
      <c r="BL100" s="37">
        <v>6622</v>
      </c>
      <c r="BM100" s="37">
        <v>7518</v>
      </c>
      <c r="BN100" s="37">
        <v>8183</v>
      </c>
      <c r="BO100" s="37">
        <v>8757</v>
      </c>
      <c r="BP100" s="39">
        <v>8768.3406854599998</v>
      </c>
      <c r="BQ100" s="37">
        <v>8928</v>
      </c>
      <c r="BR100" s="39">
        <v>9514.5441704100012</v>
      </c>
      <c r="BS100" s="37">
        <v>9786</v>
      </c>
      <c r="BT100" s="37">
        <v>9886.1090000000004</v>
      </c>
      <c r="BU100" s="37">
        <v>10139.359521</v>
      </c>
      <c r="BV100" s="37">
        <v>10350.32</v>
      </c>
      <c r="BW100" s="38">
        <v>11096.902404959999</v>
      </c>
      <c r="BX100" s="38">
        <v>11344.797309379999</v>
      </c>
      <c r="BY100" s="38">
        <v>11992.04185831</v>
      </c>
      <c r="BZ100" s="37">
        <v>13115.988547999999</v>
      </c>
      <c r="CA100" s="37">
        <v>12672.117849550001</v>
      </c>
      <c r="CB100" s="37">
        <v>14009.43246226</v>
      </c>
      <c r="CC100" s="292">
        <v>15117.98906521</v>
      </c>
      <c r="CD100" s="292">
        <v>16298.1547474</v>
      </c>
      <c r="CE100" s="292">
        <v>17427.175150679999</v>
      </c>
      <c r="CF100" s="326">
        <v>18489.377807389999</v>
      </c>
      <c r="CG100" s="470"/>
      <c r="CH100" s="457"/>
      <c r="CI100" s="457"/>
      <c r="CJ100" s="457"/>
      <c r="CK100" s="457"/>
      <c r="CL100" s="457"/>
      <c r="CM100" s="457"/>
      <c r="CN100" s="457"/>
      <c r="CO100" s="457"/>
      <c r="CP100" s="457"/>
      <c r="CS100" s="469"/>
    </row>
    <row r="101" spans="1:97" x14ac:dyDescent="0.2">
      <c r="A101" s="43" t="s">
        <v>174</v>
      </c>
      <c r="B101" s="196"/>
      <c r="C101" s="45">
        <f t="shared" ref="C101:AH101" si="97">+C100</f>
        <v>91.8</v>
      </c>
      <c r="D101" s="45">
        <f t="shared" si="97"/>
        <v>86.5</v>
      </c>
      <c r="E101" s="45">
        <f t="shared" si="97"/>
        <v>155</v>
      </c>
      <c r="F101" s="45">
        <f t="shared" si="97"/>
        <v>214.4</v>
      </c>
      <c r="G101" s="45">
        <f t="shared" si="97"/>
        <v>281.2</v>
      </c>
      <c r="H101" s="45">
        <f t="shared" si="97"/>
        <v>191.7</v>
      </c>
      <c r="I101" s="45">
        <f t="shared" si="97"/>
        <v>179.6</v>
      </c>
      <c r="J101" s="45">
        <f t="shared" si="97"/>
        <v>247.9</v>
      </c>
      <c r="K101" s="45">
        <f t="shared" si="97"/>
        <v>237.1</v>
      </c>
      <c r="L101" s="45">
        <f t="shared" si="97"/>
        <v>267.89999999999998</v>
      </c>
      <c r="M101" s="45">
        <f t="shared" si="97"/>
        <v>413.5</v>
      </c>
      <c r="N101" s="45">
        <f t="shared" si="97"/>
        <v>491.2</v>
      </c>
      <c r="O101" s="45">
        <f t="shared" si="97"/>
        <v>707.1</v>
      </c>
      <c r="P101" s="45">
        <f t="shared" si="97"/>
        <v>894.6</v>
      </c>
      <c r="Q101" s="45">
        <f t="shared" si="97"/>
        <v>881.5</v>
      </c>
      <c r="R101" s="45">
        <f t="shared" si="97"/>
        <v>1100</v>
      </c>
      <c r="S101" s="45">
        <f t="shared" si="97"/>
        <v>1281.5</v>
      </c>
      <c r="T101" s="45">
        <f t="shared" si="97"/>
        <v>1241.0999999999999</v>
      </c>
      <c r="U101" s="45">
        <f t="shared" si="97"/>
        <v>1607.6</v>
      </c>
      <c r="V101" s="45">
        <f t="shared" si="97"/>
        <v>2052.4</v>
      </c>
      <c r="W101" s="45">
        <f t="shared" si="97"/>
        <v>2369.1999999999998</v>
      </c>
      <c r="X101" s="45">
        <f t="shared" si="97"/>
        <v>1893.7</v>
      </c>
      <c r="Y101" s="45">
        <f t="shared" si="97"/>
        <v>2015.4</v>
      </c>
      <c r="Z101" s="45">
        <f t="shared" si="97"/>
        <v>2290.3000000000002</v>
      </c>
      <c r="AA101" s="45">
        <f t="shared" si="97"/>
        <v>2206.9</v>
      </c>
      <c r="AB101" s="45">
        <f t="shared" si="97"/>
        <v>2230</v>
      </c>
      <c r="AC101" s="45">
        <f t="shared" si="97"/>
        <v>2260</v>
      </c>
      <c r="AD101" s="45">
        <f t="shared" si="97"/>
        <v>2301</v>
      </c>
      <c r="AE101" s="45">
        <f t="shared" si="97"/>
        <v>2370</v>
      </c>
      <c r="AF101" s="45">
        <f t="shared" si="97"/>
        <v>2328</v>
      </c>
      <c r="AG101" s="45">
        <f t="shared" si="97"/>
        <v>1832</v>
      </c>
      <c r="AH101" s="45">
        <f t="shared" si="97"/>
        <v>1253</v>
      </c>
      <c r="AI101" s="45">
        <f t="shared" ref="AI101:BA101" si="98">+AI100</f>
        <v>1497</v>
      </c>
      <c r="AJ101" s="45">
        <f t="shared" si="98"/>
        <v>1997</v>
      </c>
      <c r="AK101" s="45">
        <f t="shared" si="98"/>
        <v>2608</v>
      </c>
      <c r="AL101" s="45">
        <f t="shared" si="98"/>
        <v>3125</v>
      </c>
      <c r="AM101" s="45">
        <f t="shared" si="98"/>
        <v>3774</v>
      </c>
      <c r="AN101" s="45">
        <f t="shared" si="98"/>
        <v>3840</v>
      </c>
      <c r="AO101" s="45">
        <f t="shared" si="98"/>
        <v>3892</v>
      </c>
      <c r="AP101" s="45">
        <f t="shared" si="98"/>
        <v>3861</v>
      </c>
      <c r="AQ101" s="45">
        <f t="shared" si="98"/>
        <v>4667</v>
      </c>
      <c r="AR101" s="45">
        <f t="shared" si="98"/>
        <v>4050</v>
      </c>
      <c r="AS101" s="45">
        <f t="shared" si="98"/>
        <v>2819</v>
      </c>
      <c r="AT101" s="45">
        <f t="shared" si="98"/>
        <v>2557</v>
      </c>
      <c r="AU101" s="45">
        <f t="shared" si="98"/>
        <v>3246</v>
      </c>
      <c r="AV101" s="45">
        <f t="shared" si="98"/>
        <v>2695</v>
      </c>
      <c r="AW101" s="45">
        <f t="shared" si="98"/>
        <v>2778</v>
      </c>
      <c r="AX101" s="45">
        <f t="shared" si="98"/>
        <v>2861</v>
      </c>
      <c r="AY101" s="45">
        <f t="shared" si="98"/>
        <v>3072</v>
      </c>
      <c r="AZ101" s="45">
        <f t="shared" si="98"/>
        <v>2912</v>
      </c>
      <c r="BA101" s="45">
        <f t="shared" si="98"/>
        <v>3130</v>
      </c>
      <c r="BB101" s="45">
        <f t="shared" ref="BB101:BR101" si="99">+BB100-BB102</f>
        <v>3192</v>
      </c>
      <c r="BC101" s="45">
        <f t="shared" si="99"/>
        <v>3318</v>
      </c>
      <c r="BD101" s="45">
        <f t="shared" si="99"/>
        <v>3301</v>
      </c>
      <c r="BE101" s="45">
        <f t="shared" si="99"/>
        <v>3436</v>
      </c>
      <c r="BF101" s="45">
        <f t="shared" si="99"/>
        <v>3334.72024297998</v>
      </c>
      <c r="BG101" s="45">
        <f t="shared" si="99"/>
        <v>3536</v>
      </c>
      <c r="BH101" s="45">
        <f t="shared" si="99"/>
        <v>3389</v>
      </c>
      <c r="BI101" s="45">
        <f t="shared" si="99"/>
        <v>3399.7460775800005</v>
      </c>
      <c r="BJ101" s="45">
        <f t="shared" si="99"/>
        <v>3821.5083425100011</v>
      </c>
      <c r="BK101" s="45">
        <f t="shared" si="99"/>
        <v>3803.5912854099997</v>
      </c>
      <c r="BL101" s="45">
        <f t="shared" si="99"/>
        <v>3599</v>
      </c>
      <c r="BM101" s="45">
        <f t="shared" si="99"/>
        <v>3922</v>
      </c>
      <c r="BN101" s="45">
        <f t="shared" si="99"/>
        <v>4127</v>
      </c>
      <c r="BO101" s="45">
        <f t="shared" si="99"/>
        <v>4293.5203155400022</v>
      </c>
      <c r="BP101" s="45">
        <f t="shared" si="99"/>
        <v>4112.1338547799987</v>
      </c>
      <c r="BQ101" s="45">
        <f t="shared" si="99"/>
        <v>3934</v>
      </c>
      <c r="BR101" s="45">
        <f t="shared" si="99"/>
        <v>4230.8201392299952</v>
      </c>
      <c r="BS101" s="45">
        <v>4302</v>
      </c>
      <c r="BT101" s="45">
        <v>4234.5159999999996</v>
      </c>
      <c r="BU101" s="45">
        <v>4379.2138954800002</v>
      </c>
      <c r="BV101" s="45">
        <v>4366.6200050699999</v>
      </c>
      <c r="BW101" s="46">
        <v>4812.6362185400003</v>
      </c>
      <c r="BX101" s="46">
        <v>4603.5959735799997</v>
      </c>
      <c r="BY101" s="46">
        <v>4776.5122921100001</v>
      </c>
      <c r="BZ101" s="45">
        <v>5164.35258213</v>
      </c>
      <c r="CA101" s="45">
        <v>4285.0624829099997</v>
      </c>
      <c r="CB101" s="45">
        <v>5369.83114897</v>
      </c>
      <c r="CC101" s="293">
        <v>6284.8803080399803</v>
      </c>
      <c r="CD101" s="293">
        <v>6973.92203865999</v>
      </c>
      <c r="CE101" s="293">
        <v>7825.9173869599999</v>
      </c>
      <c r="CF101" s="327">
        <v>8726.8018378500001</v>
      </c>
      <c r="CG101" s="470"/>
      <c r="CH101" s="457"/>
      <c r="CI101" s="457"/>
      <c r="CJ101" s="457"/>
      <c r="CK101" s="457"/>
      <c r="CL101" s="457"/>
      <c r="CM101" s="457"/>
      <c r="CN101" s="457"/>
      <c r="CO101" s="457"/>
      <c r="CP101" s="457"/>
      <c r="CS101" s="469"/>
    </row>
    <row r="102" spans="1:97" x14ac:dyDescent="0.2">
      <c r="A102" s="43" t="s">
        <v>175</v>
      </c>
      <c r="B102" s="196"/>
      <c r="C102" s="45" t="s">
        <v>50</v>
      </c>
      <c r="D102" s="45" t="s">
        <v>50</v>
      </c>
      <c r="E102" s="45" t="s">
        <v>50</v>
      </c>
      <c r="F102" s="45" t="s">
        <v>50</v>
      </c>
      <c r="G102" s="45" t="s">
        <v>50</v>
      </c>
      <c r="H102" s="45" t="s">
        <v>50</v>
      </c>
      <c r="I102" s="45" t="s">
        <v>50</v>
      </c>
      <c r="J102" s="45" t="s">
        <v>50</v>
      </c>
      <c r="K102" s="45" t="s">
        <v>50</v>
      </c>
      <c r="L102" s="45" t="s">
        <v>50</v>
      </c>
      <c r="M102" s="45" t="s">
        <v>50</v>
      </c>
      <c r="N102" s="45" t="s">
        <v>50</v>
      </c>
      <c r="O102" s="45" t="s">
        <v>50</v>
      </c>
      <c r="P102" s="45" t="s">
        <v>50</v>
      </c>
      <c r="Q102" s="45" t="s">
        <v>50</v>
      </c>
      <c r="R102" s="45" t="s">
        <v>50</v>
      </c>
      <c r="S102" s="45" t="s">
        <v>50</v>
      </c>
      <c r="T102" s="45" t="s">
        <v>50</v>
      </c>
      <c r="U102" s="45" t="s">
        <v>50</v>
      </c>
      <c r="V102" s="45" t="s">
        <v>50</v>
      </c>
      <c r="W102" s="45" t="s">
        <v>50</v>
      </c>
      <c r="X102" s="45" t="s">
        <v>50</v>
      </c>
      <c r="Y102" s="45" t="s">
        <v>50</v>
      </c>
      <c r="Z102" s="45" t="s">
        <v>50</v>
      </c>
      <c r="AA102" s="45" t="s">
        <v>50</v>
      </c>
      <c r="AB102" s="45" t="s">
        <v>50</v>
      </c>
      <c r="AC102" s="45" t="s">
        <v>50</v>
      </c>
      <c r="AD102" s="45" t="s">
        <v>50</v>
      </c>
      <c r="AE102" s="45" t="s">
        <v>50</v>
      </c>
      <c r="AF102" s="45" t="s">
        <v>50</v>
      </c>
      <c r="AG102" s="45" t="s">
        <v>50</v>
      </c>
      <c r="AH102" s="45" t="s">
        <v>50</v>
      </c>
      <c r="AI102" s="45" t="s">
        <v>50</v>
      </c>
      <c r="AJ102" s="45" t="s">
        <v>50</v>
      </c>
      <c r="AK102" s="45" t="s">
        <v>50</v>
      </c>
      <c r="AL102" s="45" t="s">
        <v>50</v>
      </c>
      <c r="AM102" s="45" t="s">
        <v>50</v>
      </c>
      <c r="AN102" s="45" t="s">
        <v>50</v>
      </c>
      <c r="AO102" s="45" t="s">
        <v>50</v>
      </c>
      <c r="AP102" s="45" t="s">
        <v>50</v>
      </c>
      <c r="AQ102" s="45" t="s">
        <v>50</v>
      </c>
      <c r="AR102" s="45" t="s">
        <v>50</v>
      </c>
      <c r="AS102" s="45" t="s">
        <v>50</v>
      </c>
      <c r="AT102" s="45" t="s">
        <v>50</v>
      </c>
      <c r="AU102" s="45" t="s">
        <v>50</v>
      </c>
      <c r="AV102" s="45" t="s">
        <v>50</v>
      </c>
      <c r="AW102" s="45" t="s">
        <v>50</v>
      </c>
      <c r="AX102" s="45" t="s">
        <v>50</v>
      </c>
      <c r="AY102" s="45" t="s">
        <v>50</v>
      </c>
      <c r="AZ102" s="45" t="s">
        <v>50</v>
      </c>
      <c r="BA102" s="45" t="s">
        <v>50</v>
      </c>
      <c r="BB102" s="45">
        <v>94</v>
      </c>
      <c r="BC102" s="45">
        <v>757</v>
      </c>
      <c r="BD102" s="45">
        <v>1195</v>
      </c>
      <c r="BE102" s="45">
        <v>1489</v>
      </c>
      <c r="BF102" s="45">
        <v>2014</v>
      </c>
      <c r="BG102" s="45">
        <v>2286</v>
      </c>
      <c r="BH102" s="45">
        <v>2358</v>
      </c>
      <c r="BI102" s="45">
        <v>2479.2539224199995</v>
      </c>
      <c r="BJ102" s="45">
        <v>2718.7038012899993</v>
      </c>
      <c r="BK102" s="45">
        <v>2885</v>
      </c>
      <c r="BL102" s="45">
        <v>3023</v>
      </c>
      <c r="BM102" s="45">
        <v>3596</v>
      </c>
      <c r="BN102" s="45">
        <v>4056</v>
      </c>
      <c r="BO102" s="45">
        <v>4463.4796844599978</v>
      </c>
      <c r="BP102" s="45">
        <v>4656.2068306800011</v>
      </c>
      <c r="BQ102" s="45">
        <v>4994</v>
      </c>
      <c r="BR102" s="45">
        <v>5283.724031180006</v>
      </c>
      <c r="BS102" s="45">
        <v>5484</v>
      </c>
      <c r="BT102" s="45">
        <v>5652</v>
      </c>
      <c r="BU102" s="45">
        <v>5760</v>
      </c>
      <c r="BV102" s="45">
        <v>5983.6999949299998</v>
      </c>
      <c r="BW102" s="46">
        <v>6284.2661864199999</v>
      </c>
      <c r="BX102" s="46">
        <v>6741.2013358000004</v>
      </c>
      <c r="BY102" s="46">
        <v>7215.5295661999999</v>
      </c>
      <c r="BZ102" s="45">
        <v>7951.6359658700003</v>
      </c>
      <c r="CA102" s="45">
        <v>8387.0553666399992</v>
      </c>
      <c r="CB102" s="45">
        <v>8639.6013132900007</v>
      </c>
      <c r="CC102" s="293">
        <v>8833.10875717001</v>
      </c>
      <c r="CD102" s="293">
        <v>9324.2327087400099</v>
      </c>
      <c r="CE102" s="293">
        <v>9601.2577637199993</v>
      </c>
      <c r="CF102" s="327">
        <v>9762.5759695399993</v>
      </c>
      <c r="CG102" s="470"/>
      <c r="CH102" s="457"/>
      <c r="CI102" s="457"/>
      <c r="CJ102" s="457"/>
      <c r="CK102" s="457"/>
      <c r="CL102" s="457"/>
      <c r="CM102" s="457"/>
      <c r="CN102" s="457"/>
      <c r="CO102" s="457"/>
      <c r="CP102" s="457"/>
      <c r="CS102" s="469"/>
    </row>
    <row r="103" spans="1:97" x14ac:dyDescent="0.2">
      <c r="A103" s="43" t="s">
        <v>173</v>
      </c>
      <c r="B103" s="196"/>
      <c r="C103" s="45" t="s">
        <v>50</v>
      </c>
      <c r="D103" s="45" t="s">
        <v>50</v>
      </c>
      <c r="E103" s="45" t="s">
        <v>50</v>
      </c>
      <c r="F103" s="45" t="s">
        <v>50</v>
      </c>
      <c r="G103" s="45" t="s">
        <v>50</v>
      </c>
      <c r="H103" s="45" t="s">
        <v>50</v>
      </c>
      <c r="I103" s="45" t="s">
        <v>50</v>
      </c>
      <c r="J103" s="45" t="s">
        <v>50</v>
      </c>
      <c r="K103" s="45" t="s">
        <v>50</v>
      </c>
      <c r="L103" s="45" t="s">
        <v>50</v>
      </c>
      <c r="M103" s="45" t="s">
        <v>50</v>
      </c>
      <c r="N103" s="45" t="s">
        <v>50</v>
      </c>
      <c r="O103" s="45" t="s">
        <v>50</v>
      </c>
      <c r="P103" s="45" t="s">
        <v>50</v>
      </c>
      <c r="Q103" s="45" t="s">
        <v>50</v>
      </c>
      <c r="R103" s="45" t="s">
        <v>50</v>
      </c>
      <c r="S103" s="45" t="s">
        <v>50</v>
      </c>
      <c r="T103" s="45" t="s">
        <v>50</v>
      </c>
      <c r="U103" s="45" t="s">
        <v>50</v>
      </c>
      <c r="V103" s="45" t="s">
        <v>50</v>
      </c>
      <c r="W103" s="45" t="s">
        <v>50</v>
      </c>
      <c r="X103" s="45" t="s">
        <v>50</v>
      </c>
      <c r="Y103" s="45" t="s">
        <v>50</v>
      </c>
      <c r="Z103" s="45" t="s">
        <v>50</v>
      </c>
      <c r="AA103" s="45" t="s">
        <v>50</v>
      </c>
      <c r="AB103" s="45" t="s">
        <v>50</v>
      </c>
      <c r="AC103" s="45" t="s">
        <v>50</v>
      </c>
      <c r="AD103" s="45" t="s">
        <v>50</v>
      </c>
      <c r="AE103" s="45" t="s">
        <v>50</v>
      </c>
      <c r="AF103" s="45" t="s">
        <v>50</v>
      </c>
      <c r="AG103" s="45" t="s">
        <v>50</v>
      </c>
      <c r="AH103" s="45" t="s">
        <v>50</v>
      </c>
      <c r="AI103" s="45" t="s">
        <v>50</v>
      </c>
      <c r="AJ103" s="45" t="s">
        <v>50</v>
      </c>
      <c r="AK103" s="45" t="s">
        <v>50</v>
      </c>
      <c r="AL103" s="45" t="s">
        <v>50</v>
      </c>
      <c r="AM103" s="45" t="s">
        <v>50</v>
      </c>
      <c r="AN103" s="45" t="s">
        <v>50</v>
      </c>
      <c r="AO103" s="45" t="s">
        <v>50</v>
      </c>
      <c r="AP103" s="45" t="s">
        <v>50</v>
      </c>
      <c r="AQ103" s="45" t="s">
        <v>50</v>
      </c>
      <c r="AR103" s="45" t="s">
        <v>50</v>
      </c>
      <c r="AS103" s="45" t="s">
        <v>50</v>
      </c>
      <c r="AT103" s="45" t="s">
        <v>50</v>
      </c>
      <c r="AU103" s="45" t="s">
        <v>50</v>
      </c>
      <c r="AV103" s="45" t="s">
        <v>50</v>
      </c>
      <c r="AW103" s="45" t="s">
        <v>50</v>
      </c>
      <c r="AX103" s="45" t="s">
        <v>50</v>
      </c>
      <c r="AY103" s="45" t="s">
        <v>50</v>
      </c>
      <c r="AZ103" s="45" t="s">
        <v>50</v>
      </c>
      <c r="BA103" s="45" t="s">
        <v>50</v>
      </c>
      <c r="BB103" s="45" t="s">
        <v>50</v>
      </c>
      <c r="BC103" s="45" t="s">
        <v>50</v>
      </c>
      <c r="BD103" s="45" t="s">
        <v>50</v>
      </c>
      <c r="BE103" s="45" t="s">
        <v>50</v>
      </c>
      <c r="BF103" s="45" t="s">
        <v>50</v>
      </c>
      <c r="BG103" s="45" t="s">
        <v>50</v>
      </c>
      <c r="BH103" s="45" t="s">
        <v>50</v>
      </c>
      <c r="BI103" s="45" t="s">
        <v>50</v>
      </c>
      <c r="BJ103" s="45" t="s">
        <v>50</v>
      </c>
      <c r="BK103" s="45" t="s">
        <v>50</v>
      </c>
      <c r="BL103" s="45" t="s">
        <v>50</v>
      </c>
      <c r="BM103" s="45" t="s">
        <v>50</v>
      </c>
      <c r="BN103" s="45" t="s">
        <v>50</v>
      </c>
      <c r="BO103" s="45" t="s">
        <v>50</v>
      </c>
      <c r="BP103" s="45" t="s">
        <v>50</v>
      </c>
      <c r="BQ103" s="45" t="s">
        <v>50</v>
      </c>
      <c r="BR103" s="45" t="s">
        <v>50</v>
      </c>
      <c r="BS103" s="45">
        <v>630</v>
      </c>
      <c r="BT103" s="45">
        <v>2016</v>
      </c>
      <c r="BU103" s="45">
        <v>2885.3141879999998</v>
      </c>
      <c r="BV103" s="45">
        <v>4209.5469830000002</v>
      </c>
      <c r="BW103" s="46">
        <v>7049.510663</v>
      </c>
      <c r="BX103" s="46">
        <v>7892.1289189999998</v>
      </c>
      <c r="BY103" s="46">
        <v>9201.4569260000007</v>
      </c>
      <c r="BZ103" s="45">
        <v>9843.8792489999996</v>
      </c>
      <c r="CA103" s="45">
        <v>10419.189439</v>
      </c>
      <c r="CB103" s="45">
        <v>11178.333452999999</v>
      </c>
      <c r="CC103" s="293">
        <v>12191.346045</v>
      </c>
      <c r="CD103" s="293">
        <v>13556.053301</v>
      </c>
      <c r="CE103" s="293">
        <v>15461.631775</v>
      </c>
      <c r="CF103" s="327">
        <v>17181.179996999999</v>
      </c>
      <c r="CG103" s="470"/>
      <c r="CH103" s="457"/>
      <c r="CI103" s="457"/>
      <c r="CJ103" s="457"/>
      <c r="CK103" s="457"/>
      <c r="CL103" s="457"/>
      <c r="CM103" s="457"/>
      <c r="CN103" s="457"/>
      <c r="CO103" s="457"/>
      <c r="CP103" s="457"/>
      <c r="CS103" s="469"/>
    </row>
    <row r="104" spans="1:97" s="425" customFormat="1" x14ac:dyDescent="0.2">
      <c r="A104" s="193" t="s">
        <v>205</v>
      </c>
      <c r="B104" s="197"/>
      <c r="C104" s="192">
        <f t="shared" ref="C104:AH104" si="100">SUM(C100,C103)</f>
        <v>91.8</v>
      </c>
      <c r="D104" s="192">
        <f t="shared" si="100"/>
        <v>86.5</v>
      </c>
      <c r="E104" s="192">
        <f t="shared" si="100"/>
        <v>155</v>
      </c>
      <c r="F104" s="192">
        <f t="shared" si="100"/>
        <v>214.4</v>
      </c>
      <c r="G104" s="192">
        <f t="shared" si="100"/>
        <v>281.2</v>
      </c>
      <c r="H104" s="192">
        <f t="shared" si="100"/>
        <v>191.7</v>
      </c>
      <c r="I104" s="192">
        <f t="shared" si="100"/>
        <v>179.6</v>
      </c>
      <c r="J104" s="192">
        <f t="shared" si="100"/>
        <v>247.9</v>
      </c>
      <c r="K104" s="192">
        <f t="shared" si="100"/>
        <v>237.1</v>
      </c>
      <c r="L104" s="192">
        <f t="shared" si="100"/>
        <v>267.89999999999998</v>
      </c>
      <c r="M104" s="192">
        <f t="shared" si="100"/>
        <v>413.5</v>
      </c>
      <c r="N104" s="192">
        <f t="shared" si="100"/>
        <v>491.2</v>
      </c>
      <c r="O104" s="192">
        <f t="shared" si="100"/>
        <v>707.1</v>
      </c>
      <c r="P104" s="192">
        <f t="shared" si="100"/>
        <v>894.6</v>
      </c>
      <c r="Q104" s="192">
        <f t="shared" si="100"/>
        <v>881.5</v>
      </c>
      <c r="R104" s="192">
        <f t="shared" si="100"/>
        <v>1100</v>
      </c>
      <c r="S104" s="192">
        <f t="shared" si="100"/>
        <v>1281.5</v>
      </c>
      <c r="T104" s="192">
        <f t="shared" si="100"/>
        <v>1241.0999999999999</v>
      </c>
      <c r="U104" s="192">
        <f t="shared" si="100"/>
        <v>1607.6</v>
      </c>
      <c r="V104" s="192">
        <f t="shared" si="100"/>
        <v>2052.4</v>
      </c>
      <c r="W104" s="192">
        <f t="shared" si="100"/>
        <v>2369.1999999999998</v>
      </c>
      <c r="X104" s="192">
        <f t="shared" si="100"/>
        <v>1893.7</v>
      </c>
      <c r="Y104" s="192">
        <f t="shared" si="100"/>
        <v>2015.4</v>
      </c>
      <c r="Z104" s="192">
        <f t="shared" si="100"/>
        <v>2290.3000000000002</v>
      </c>
      <c r="AA104" s="192">
        <f t="shared" si="100"/>
        <v>2206.9</v>
      </c>
      <c r="AB104" s="192">
        <f t="shared" si="100"/>
        <v>2230</v>
      </c>
      <c r="AC104" s="192">
        <f t="shared" si="100"/>
        <v>2260</v>
      </c>
      <c r="AD104" s="192">
        <f t="shared" si="100"/>
        <v>2301</v>
      </c>
      <c r="AE104" s="192">
        <f t="shared" si="100"/>
        <v>2370</v>
      </c>
      <c r="AF104" s="192">
        <f t="shared" si="100"/>
        <v>2328</v>
      </c>
      <c r="AG104" s="192">
        <f t="shared" si="100"/>
        <v>1832</v>
      </c>
      <c r="AH104" s="192">
        <f t="shared" si="100"/>
        <v>1253</v>
      </c>
      <c r="AI104" s="192">
        <f t="shared" ref="AI104:BN104" si="101">SUM(AI100,AI103)</f>
        <v>1497</v>
      </c>
      <c r="AJ104" s="192">
        <f t="shared" si="101"/>
        <v>1997</v>
      </c>
      <c r="AK104" s="192">
        <f t="shared" si="101"/>
        <v>2608</v>
      </c>
      <c r="AL104" s="192">
        <f t="shared" si="101"/>
        <v>3125</v>
      </c>
      <c r="AM104" s="192">
        <f t="shared" si="101"/>
        <v>3774</v>
      </c>
      <c r="AN104" s="192">
        <f t="shared" si="101"/>
        <v>3840</v>
      </c>
      <c r="AO104" s="192">
        <f t="shared" si="101"/>
        <v>3892</v>
      </c>
      <c r="AP104" s="192">
        <f t="shared" si="101"/>
        <v>3861</v>
      </c>
      <c r="AQ104" s="192">
        <f t="shared" si="101"/>
        <v>4667</v>
      </c>
      <c r="AR104" s="192">
        <f t="shared" si="101"/>
        <v>4050</v>
      </c>
      <c r="AS104" s="192">
        <f t="shared" si="101"/>
        <v>2819</v>
      </c>
      <c r="AT104" s="192">
        <f t="shared" si="101"/>
        <v>2557</v>
      </c>
      <c r="AU104" s="192">
        <f t="shared" si="101"/>
        <v>3246</v>
      </c>
      <c r="AV104" s="192">
        <f t="shared" si="101"/>
        <v>2695</v>
      </c>
      <c r="AW104" s="192">
        <f t="shared" si="101"/>
        <v>2778</v>
      </c>
      <c r="AX104" s="192">
        <f t="shared" si="101"/>
        <v>2861</v>
      </c>
      <c r="AY104" s="192">
        <f t="shared" si="101"/>
        <v>3072</v>
      </c>
      <c r="AZ104" s="192">
        <f t="shared" si="101"/>
        <v>2912</v>
      </c>
      <c r="BA104" s="192">
        <f t="shared" si="101"/>
        <v>3130</v>
      </c>
      <c r="BB104" s="192">
        <f t="shared" si="101"/>
        <v>3286</v>
      </c>
      <c r="BC104" s="192">
        <f t="shared" si="101"/>
        <v>4075</v>
      </c>
      <c r="BD104" s="192">
        <f t="shared" si="101"/>
        <v>4496</v>
      </c>
      <c r="BE104" s="192">
        <f t="shared" si="101"/>
        <v>4925</v>
      </c>
      <c r="BF104" s="192">
        <f t="shared" si="101"/>
        <v>5348.72024297998</v>
      </c>
      <c r="BG104" s="192">
        <f t="shared" si="101"/>
        <v>5822</v>
      </c>
      <c r="BH104" s="192">
        <f t="shared" si="101"/>
        <v>5747</v>
      </c>
      <c r="BI104" s="192">
        <f t="shared" si="101"/>
        <v>5879</v>
      </c>
      <c r="BJ104" s="192">
        <f t="shared" si="101"/>
        <v>6540.2121438000004</v>
      </c>
      <c r="BK104" s="192">
        <f t="shared" si="101"/>
        <v>6688.5912854099997</v>
      </c>
      <c r="BL104" s="192">
        <f t="shared" si="101"/>
        <v>6622</v>
      </c>
      <c r="BM104" s="192">
        <f t="shared" si="101"/>
        <v>7518</v>
      </c>
      <c r="BN104" s="192">
        <f t="shared" si="101"/>
        <v>8183</v>
      </c>
      <c r="BO104" s="192">
        <f t="shared" ref="BO104:BT104" si="102">SUM(BO100,BO103)</f>
        <v>8757</v>
      </c>
      <c r="BP104" s="192">
        <f t="shared" si="102"/>
        <v>8768.3406854599998</v>
      </c>
      <c r="BQ104" s="192">
        <f t="shared" si="102"/>
        <v>8928</v>
      </c>
      <c r="BR104" s="192">
        <f t="shared" si="102"/>
        <v>9514.5441704100012</v>
      </c>
      <c r="BS104" s="192">
        <f t="shared" si="102"/>
        <v>10416</v>
      </c>
      <c r="BT104" s="192">
        <f t="shared" si="102"/>
        <v>11902.109</v>
      </c>
      <c r="BU104" s="192">
        <f t="shared" ref="BU104:BZ104" si="103">SUM(BU100,BU103)</f>
        <v>13024.673709000001</v>
      </c>
      <c r="BV104" s="192">
        <f t="shared" si="103"/>
        <v>14559.866983</v>
      </c>
      <c r="BW104" s="191">
        <f t="shared" si="103"/>
        <v>18146.413067959998</v>
      </c>
      <c r="BX104" s="191">
        <f t="shared" si="103"/>
        <v>19236.926228379998</v>
      </c>
      <c r="BY104" s="191">
        <f t="shared" si="103"/>
        <v>21193.498784310003</v>
      </c>
      <c r="BZ104" s="192">
        <f t="shared" si="103"/>
        <v>22959.867796999999</v>
      </c>
      <c r="CA104" s="192">
        <f t="shared" ref="CA104:CF104" si="104">SUM(CA100,CA103)</f>
        <v>23091.307288550001</v>
      </c>
      <c r="CB104" s="192">
        <f t="shared" si="104"/>
        <v>25187.765915259999</v>
      </c>
      <c r="CC104" s="305">
        <f t="shared" si="104"/>
        <v>27309.335110209999</v>
      </c>
      <c r="CD104" s="305">
        <f t="shared" si="104"/>
        <v>29854.2080484</v>
      </c>
      <c r="CE104" s="305">
        <f t="shared" si="104"/>
        <v>32888.806925680001</v>
      </c>
      <c r="CF104" s="278">
        <f t="shared" si="104"/>
        <v>35670.557804390002</v>
      </c>
      <c r="CG104" s="472"/>
      <c r="CH104" s="457"/>
      <c r="CI104" s="457"/>
      <c r="CJ104" s="457"/>
      <c r="CK104" s="457"/>
      <c r="CL104" s="457"/>
      <c r="CM104" s="457"/>
      <c r="CN104" s="457"/>
      <c r="CO104" s="457"/>
      <c r="CP104" s="457"/>
      <c r="CS104" s="469"/>
    </row>
    <row r="105" spans="1:97" x14ac:dyDescent="0.2">
      <c r="A105" s="10"/>
      <c r="B105" s="11"/>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9"/>
      <c r="AD105" s="29"/>
      <c r="AE105" s="29"/>
      <c r="AF105" s="29"/>
      <c r="AG105" s="29"/>
      <c r="AH105" s="29"/>
      <c r="AI105" s="29"/>
      <c r="AJ105" s="28"/>
      <c r="AK105" s="7"/>
      <c r="AL105" s="28"/>
      <c r="AM105" s="29"/>
      <c r="AN105" s="28"/>
      <c r="AO105" s="28"/>
      <c r="AP105" s="28"/>
      <c r="AQ105" s="28"/>
      <c r="AR105" s="28"/>
      <c r="AS105" s="7"/>
      <c r="AT105" s="29"/>
      <c r="AU105" s="29"/>
      <c r="AV105" s="28"/>
      <c r="AW105" s="28"/>
      <c r="AX105" s="28"/>
      <c r="AY105" s="28"/>
      <c r="AZ105" s="28"/>
      <c r="BA105" s="28"/>
      <c r="BB105" s="28"/>
      <c r="BC105" s="28"/>
      <c r="BD105" s="28"/>
      <c r="BE105" s="28"/>
      <c r="BF105" s="28"/>
      <c r="BG105" s="28"/>
      <c r="BH105" s="28"/>
      <c r="BI105" s="29"/>
      <c r="BJ105" s="28"/>
      <c r="BK105" s="28"/>
      <c r="BL105" s="28"/>
      <c r="BM105" s="28"/>
      <c r="BN105" s="28"/>
      <c r="BO105" s="28"/>
      <c r="BP105" s="7"/>
      <c r="BQ105" s="28"/>
      <c r="BR105" s="7"/>
      <c r="BS105" s="28"/>
      <c r="BT105" s="28"/>
      <c r="BU105" s="28"/>
      <c r="BV105" s="28"/>
      <c r="BW105" s="29"/>
      <c r="BX105" s="29"/>
      <c r="BY105" s="29"/>
      <c r="BZ105" s="28"/>
      <c r="CA105" s="28"/>
      <c r="CB105" s="28"/>
      <c r="CC105" s="291"/>
      <c r="CD105" s="291"/>
      <c r="CE105" s="291"/>
      <c r="CF105" s="268"/>
      <c r="CH105" s="457"/>
      <c r="CI105" s="457"/>
      <c r="CJ105" s="457"/>
      <c r="CK105" s="457"/>
      <c r="CL105" s="457"/>
      <c r="CM105" s="457"/>
      <c r="CN105" s="457"/>
      <c r="CO105" s="457"/>
      <c r="CP105" s="457"/>
      <c r="CS105" s="469"/>
    </row>
    <row r="106" spans="1:97" x14ac:dyDescent="0.2">
      <c r="A106" s="237" t="s">
        <v>134</v>
      </c>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9"/>
      <c r="AD106" s="29"/>
      <c r="AE106" s="29"/>
      <c r="AF106" s="29"/>
      <c r="AG106" s="29"/>
      <c r="AH106" s="29"/>
      <c r="AI106" s="29"/>
      <c r="AJ106" s="28"/>
      <c r="AK106" s="7"/>
      <c r="AL106" s="28"/>
      <c r="AM106" s="29"/>
      <c r="AN106" s="28"/>
      <c r="AO106" s="28"/>
      <c r="AP106" s="28"/>
      <c r="AQ106" s="28"/>
      <c r="AR106" s="28"/>
      <c r="AS106" s="7"/>
      <c r="AT106" s="29"/>
      <c r="AU106" s="29"/>
      <c r="AV106" s="28"/>
      <c r="AW106" s="28"/>
      <c r="AX106" s="28"/>
      <c r="AY106" s="28"/>
      <c r="AZ106" s="28"/>
      <c r="BA106" s="28"/>
      <c r="BB106" s="28"/>
      <c r="BC106" s="28"/>
      <c r="BD106" s="28"/>
      <c r="BE106" s="28"/>
      <c r="BF106" s="28"/>
      <c r="BG106" s="28"/>
      <c r="BH106" s="28"/>
      <c r="BI106" s="29"/>
      <c r="BJ106" s="28"/>
      <c r="BK106" s="28"/>
      <c r="BL106" s="28"/>
      <c r="BM106" s="28"/>
      <c r="BN106" s="28"/>
      <c r="BO106" s="28"/>
      <c r="BP106" s="7"/>
      <c r="BQ106" s="28"/>
      <c r="BR106" s="7"/>
      <c r="BS106" s="28"/>
      <c r="BT106" s="28"/>
      <c r="BU106" s="28"/>
      <c r="BV106" s="28"/>
      <c r="BW106" s="29"/>
      <c r="BX106" s="29"/>
      <c r="BY106" s="29"/>
      <c r="BZ106" s="28"/>
      <c r="CA106" s="28"/>
      <c r="CB106" s="28"/>
      <c r="CC106" s="291"/>
      <c r="CD106" s="291"/>
      <c r="CE106" s="291"/>
      <c r="CF106" s="268"/>
      <c r="CH106" s="457"/>
      <c r="CI106" s="457"/>
      <c r="CJ106" s="457"/>
      <c r="CK106" s="457"/>
      <c r="CL106" s="457"/>
      <c r="CM106" s="457"/>
      <c r="CN106" s="457"/>
      <c r="CO106" s="457"/>
      <c r="CP106" s="457"/>
      <c r="CS106" s="469"/>
    </row>
    <row r="107" spans="1:97" x14ac:dyDescent="0.2">
      <c r="A107" s="10" t="s">
        <v>247</v>
      </c>
      <c r="B107" s="11"/>
      <c r="C107" s="436">
        <f>C100/(C85)</f>
        <v>0.75617792421746288</v>
      </c>
      <c r="D107" s="436">
        <f t="shared" ref="D107" si="105">D100/(D85)</f>
        <v>0.47658402203856748</v>
      </c>
      <c r="E107" s="436">
        <f>E100/(E85-E87)</f>
        <v>0.24139542127394489</v>
      </c>
      <c r="F107" s="436">
        <f t="shared" ref="F107:AM107" si="106">F100/(F85-F87)</f>
        <v>0.38217468805704102</v>
      </c>
      <c r="G107" s="436">
        <f t="shared" si="106"/>
        <v>0.5558410753113262</v>
      </c>
      <c r="H107" s="436">
        <f t="shared" si="106"/>
        <v>0.3570497299310858</v>
      </c>
      <c r="I107" s="436">
        <f t="shared" si="106"/>
        <v>0.31234782608695649</v>
      </c>
      <c r="J107" s="436">
        <f t="shared" si="106"/>
        <v>0.36073923166472643</v>
      </c>
      <c r="K107" s="436">
        <f t="shared" si="106"/>
        <v>0.32359765251808376</v>
      </c>
      <c r="L107" s="436">
        <f t="shared" si="106"/>
        <v>0.30917484131563761</v>
      </c>
      <c r="M107" s="436">
        <f t="shared" si="106"/>
        <v>0.44799566630552545</v>
      </c>
      <c r="N107" s="436">
        <f t="shared" si="106"/>
        <v>0.44356149539461798</v>
      </c>
      <c r="O107" s="436">
        <f t="shared" si="106"/>
        <v>0.559768841038632</v>
      </c>
      <c r="P107" s="436">
        <f t="shared" si="106"/>
        <v>0.68794217163949556</v>
      </c>
      <c r="Q107" s="436">
        <f t="shared" si="106"/>
        <v>0.61557262569832405</v>
      </c>
      <c r="R107" s="436">
        <f t="shared" si="106"/>
        <v>0.81007437955666828</v>
      </c>
      <c r="S107" s="436">
        <f t="shared" si="106"/>
        <v>0.83154889364739482</v>
      </c>
      <c r="T107" s="436">
        <f t="shared" si="106"/>
        <v>0.55714670497396301</v>
      </c>
      <c r="U107" s="436">
        <f t="shared" si="106"/>
        <v>0.64019752299788935</v>
      </c>
      <c r="V107" s="436">
        <f t="shared" si="106"/>
        <v>0.89722404371584707</v>
      </c>
      <c r="W107" s="436">
        <f t="shared" si="106"/>
        <v>0.67679826315488756</v>
      </c>
      <c r="X107" s="436">
        <f t="shared" si="106"/>
        <v>0.41483931740016217</v>
      </c>
      <c r="Y107" s="436">
        <f t="shared" si="106"/>
        <v>0.46275716385011023</v>
      </c>
      <c r="Z107" s="436">
        <f t="shared" si="106"/>
        <v>0.50383879270519394</v>
      </c>
      <c r="AA107" s="436">
        <f t="shared" si="106"/>
        <v>0.42123647191311486</v>
      </c>
      <c r="AB107" s="436">
        <f t="shared" si="106"/>
        <v>0.37236174191824739</v>
      </c>
      <c r="AC107" s="436">
        <f t="shared" si="106"/>
        <v>0.36664503569110968</v>
      </c>
      <c r="AD107" s="436">
        <f t="shared" si="106"/>
        <v>0.36122448979591837</v>
      </c>
      <c r="AE107" s="436">
        <f t="shared" si="106"/>
        <v>0.36619283065512981</v>
      </c>
      <c r="AF107" s="436">
        <f t="shared" si="106"/>
        <v>0.34010226442658875</v>
      </c>
      <c r="AG107" s="436">
        <f t="shared" si="106"/>
        <v>0.27189076877411694</v>
      </c>
      <c r="AH107" s="436">
        <f t="shared" si="106"/>
        <v>0.17015209125475286</v>
      </c>
      <c r="AI107" s="436">
        <f t="shared" si="106"/>
        <v>0.20631201764057333</v>
      </c>
      <c r="AJ107" s="436">
        <f t="shared" si="106"/>
        <v>0.25831069719311861</v>
      </c>
      <c r="AK107" s="436">
        <f t="shared" si="106"/>
        <v>0.32640801001251563</v>
      </c>
      <c r="AL107" s="436">
        <f t="shared" si="106"/>
        <v>0.37796323173681662</v>
      </c>
      <c r="AM107" s="436">
        <f t="shared" si="106"/>
        <v>0.43975763225355397</v>
      </c>
      <c r="AN107" s="436">
        <f>AN100/(AN85-AN87)</f>
        <v>0.41671188279978294</v>
      </c>
      <c r="AO107" s="436">
        <f>AO100/(AO85-(AO86+AO87))</f>
        <v>0.40028797696184304</v>
      </c>
      <c r="AP107" s="436">
        <f t="shared" ref="AP107:BN107" si="107">AP100/(AP85-(AP86+AP87))</f>
        <v>0.38005709223348755</v>
      </c>
      <c r="AQ107" s="436">
        <f t="shared" si="107"/>
        <v>0.51976834836841523</v>
      </c>
      <c r="AR107" s="436">
        <f t="shared" si="107"/>
        <v>0.40954596015775102</v>
      </c>
      <c r="AS107" s="436">
        <f t="shared" si="107"/>
        <v>0.25702042304886946</v>
      </c>
      <c r="AT107" s="436">
        <f t="shared" si="107"/>
        <v>0.2421401515151515</v>
      </c>
      <c r="AU107" s="436">
        <f t="shared" si="107"/>
        <v>0.3430926963323116</v>
      </c>
      <c r="AV107" s="436">
        <f t="shared" si="107"/>
        <v>0.25307540614142171</v>
      </c>
      <c r="AW107" s="436">
        <f t="shared" si="107"/>
        <v>0.26116386199116293</v>
      </c>
      <c r="AX107" s="436">
        <f t="shared" si="107"/>
        <v>0.27868692772257941</v>
      </c>
      <c r="AY107" s="436">
        <f t="shared" si="107"/>
        <v>0.3157245632065776</v>
      </c>
      <c r="AZ107" s="436">
        <f t="shared" si="107"/>
        <v>0.27207325049051667</v>
      </c>
      <c r="BA107" s="436">
        <f t="shared" si="107"/>
        <v>0.27157880123555339</v>
      </c>
      <c r="BB107" s="436">
        <f t="shared" si="107"/>
        <v>0.27190732312784444</v>
      </c>
      <c r="BC107" s="436">
        <f t="shared" si="107"/>
        <v>0.3319485174323884</v>
      </c>
      <c r="BD107" s="436">
        <f t="shared" si="107"/>
        <v>0.3498560423313361</v>
      </c>
      <c r="BE107" s="436">
        <f t="shared" si="107"/>
        <v>0.39158781903474599</v>
      </c>
      <c r="BF107" s="436">
        <f t="shared" si="107"/>
        <v>0.3556847680161091</v>
      </c>
      <c r="BG107" s="436">
        <f t="shared" si="107"/>
        <v>0.32144434628975266</v>
      </c>
      <c r="BH107" s="436">
        <f t="shared" si="107"/>
        <v>0.25281541439380611</v>
      </c>
      <c r="BI107" s="436">
        <f t="shared" si="107"/>
        <v>0.2552779243317842</v>
      </c>
      <c r="BJ107" s="436">
        <f t="shared" si="107"/>
        <v>0.30076001723933604</v>
      </c>
      <c r="BK107" s="436">
        <f t="shared" si="107"/>
        <v>0.28605015251104482</v>
      </c>
      <c r="BL107" s="436">
        <f t="shared" si="107"/>
        <v>0.26191512083217972</v>
      </c>
      <c r="BM107" s="436">
        <f t="shared" si="107"/>
        <v>0.30220685774008121</v>
      </c>
      <c r="BN107" s="436">
        <f t="shared" si="107"/>
        <v>0.32431039949270768</v>
      </c>
      <c r="BO107" s="436">
        <f t="shared" ref="BO107:CC107" si="108">BO100/(BO85-(BO86+BO87))</f>
        <v>0.34369317510403252</v>
      </c>
      <c r="BP107" s="436">
        <f t="shared" si="108"/>
        <v>0.30277828399462137</v>
      </c>
      <c r="BQ107" s="436">
        <f t="shared" si="108"/>
        <v>0.29853541095432357</v>
      </c>
      <c r="BR107" s="436">
        <f t="shared" si="108"/>
        <v>0.31766352059710096</v>
      </c>
      <c r="BS107" s="436">
        <f t="shared" si="108"/>
        <v>0.3155450939928417</v>
      </c>
      <c r="BT107" s="436">
        <f t="shared" si="108"/>
        <v>0.30123137861533089</v>
      </c>
      <c r="BU107" s="436">
        <f t="shared" si="108"/>
        <v>0.29489444313817181</v>
      </c>
      <c r="BV107" s="436">
        <f t="shared" si="108"/>
        <v>0.27736174037261524</v>
      </c>
      <c r="BW107" s="436">
        <f t="shared" si="108"/>
        <v>0.31575235281091202</v>
      </c>
      <c r="BX107" s="436">
        <f t="shared" si="108"/>
        <v>0.30168696253325206</v>
      </c>
      <c r="BY107" s="436">
        <f t="shared" si="108"/>
        <v>0.30825544710879932</v>
      </c>
      <c r="BZ107" s="436">
        <f t="shared" si="108"/>
        <v>0.33804502919098811</v>
      </c>
      <c r="CA107" s="436">
        <f t="shared" si="108"/>
        <v>0.21681545845109487</v>
      </c>
      <c r="CB107" s="436">
        <f t="shared" si="108"/>
        <v>0.27113555356645958</v>
      </c>
      <c r="CC107" s="436">
        <f t="shared" si="108"/>
        <v>0.30981389301699835</v>
      </c>
      <c r="CD107" s="436">
        <f>CD100/(CD85-(CD86+CD87))</f>
        <v>0.33822838663829558</v>
      </c>
      <c r="CE107" s="436">
        <f>CE100/(CE85-(CE86+CE87))</f>
        <v>0.34002646866228475</v>
      </c>
      <c r="CF107" s="476">
        <f>CF100/(CF85-(CF86+CF87))</f>
        <v>0.35526712966204593</v>
      </c>
      <c r="CH107" s="457"/>
      <c r="CI107" s="457"/>
      <c r="CJ107" s="457"/>
      <c r="CK107" s="457"/>
      <c r="CL107" s="457"/>
      <c r="CM107" s="457"/>
      <c r="CN107" s="457"/>
      <c r="CO107" s="457"/>
      <c r="CP107" s="457"/>
      <c r="CS107" s="469"/>
    </row>
    <row r="108" spans="1:97" x14ac:dyDescent="0.2">
      <c r="A108" s="43" t="s">
        <v>177</v>
      </c>
      <c r="B108" s="116"/>
      <c r="C108" s="257">
        <f t="shared" ref="C108:BN108" si="109">+C85/C88</f>
        <v>2.0774153804031623E-2</v>
      </c>
      <c r="D108" s="257">
        <f t="shared" si="109"/>
        <v>3.1060152305981005E-2</v>
      </c>
      <c r="E108" s="257">
        <f t="shared" si="109"/>
        <v>0.13290560142825261</v>
      </c>
      <c r="F108" s="257">
        <f t="shared" si="109"/>
        <v>0.14290040063356005</v>
      </c>
      <c r="G108" s="257">
        <f t="shared" si="109"/>
        <v>0.1229908920439325</v>
      </c>
      <c r="H108" s="257">
        <f t="shared" si="109"/>
        <v>0.15287608340568301</v>
      </c>
      <c r="I108" s="257">
        <f t="shared" si="109"/>
        <v>0.16720364403955115</v>
      </c>
      <c r="J108" s="257">
        <f t="shared" si="109"/>
        <v>0.15241135695177288</v>
      </c>
      <c r="K108" s="257">
        <f t="shared" si="109"/>
        <v>0.16340129593603039</v>
      </c>
      <c r="L108" s="257">
        <f t="shared" si="109"/>
        <v>0.15194604185279795</v>
      </c>
      <c r="M108" s="257">
        <f t="shared" si="109"/>
        <v>0.1349680283253184</v>
      </c>
      <c r="N108" s="257">
        <f t="shared" si="109"/>
        <v>0.12736849424608004</v>
      </c>
      <c r="O108" s="257">
        <f t="shared" si="109"/>
        <v>0.11356354330330495</v>
      </c>
      <c r="P108" s="257">
        <f t="shared" si="109"/>
        <v>0.11055586970529832</v>
      </c>
      <c r="Q108" s="257">
        <f t="shared" si="109"/>
        <v>0.11879772542648254</v>
      </c>
      <c r="R108" s="257">
        <f t="shared" si="109"/>
        <v>0.10206334527800255</v>
      </c>
      <c r="S108" s="257">
        <f t="shared" si="109"/>
        <v>9.5605827195228879E-2</v>
      </c>
      <c r="T108" s="257">
        <f t="shared" si="109"/>
        <v>0.12271501997867786</v>
      </c>
      <c r="U108" s="257">
        <f t="shared" si="109"/>
        <v>0.11442037742186331</v>
      </c>
      <c r="V108" s="257">
        <f t="shared" si="109"/>
        <v>0.11065438742371232</v>
      </c>
      <c r="W108" s="257">
        <f t="shared" si="109"/>
        <v>0.10631943799709097</v>
      </c>
      <c r="X108" s="257">
        <f t="shared" si="109"/>
        <v>0.14242775886012135</v>
      </c>
      <c r="Y108" s="257">
        <f t="shared" si="109"/>
        <v>0.12849164862988524</v>
      </c>
      <c r="Z108" s="257">
        <f t="shared" si="109"/>
        <v>0.11599637120068886</v>
      </c>
      <c r="AA108" s="257">
        <f t="shared" si="109"/>
        <v>0.1219270416240827</v>
      </c>
      <c r="AB108" s="257">
        <f t="shared" si="109"/>
        <v>0.13007700787037393</v>
      </c>
      <c r="AC108" s="257">
        <f t="shared" si="109"/>
        <v>0.13388797523459417</v>
      </c>
      <c r="AD108" s="257">
        <f t="shared" si="109"/>
        <v>0.1468830414211007</v>
      </c>
      <c r="AE108" s="257">
        <f t="shared" si="109"/>
        <v>0.15287520521950493</v>
      </c>
      <c r="AF108" s="257">
        <f t="shared" si="109"/>
        <v>0.16359331899828414</v>
      </c>
      <c r="AG108" s="257">
        <f t="shared" si="109"/>
        <v>0.18190563105838245</v>
      </c>
      <c r="AH108" s="257">
        <f t="shared" si="109"/>
        <v>0.22307886039653055</v>
      </c>
      <c r="AI108" s="257">
        <f t="shared" si="109"/>
        <v>0.20132080784293649</v>
      </c>
      <c r="AJ108" s="257">
        <f t="shared" si="109"/>
        <v>0.17136752136752137</v>
      </c>
      <c r="AK108" s="257">
        <f t="shared" si="109"/>
        <v>0.14997578524975785</v>
      </c>
      <c r="AL108" s="257">
        <f t="shared" si="109"/>
        <v>0.13993449544417366</v>
      </c>
      <c r="AM108" s="257">
        <f t="shared" si="109"/>
        <v>0.12436605960043355</v>
      </c>
      <c r="AN108" s="257">
        <f t="shared" si="109"/>
        <v>0.1366280665166566</v>
      </c>
      <c r="AO108" s="257">
        <f t="shared" si="109"/>
        <v>0.13694441967413598</v>
      </c>
      <c r="AP108" s="257">
        <f t="shared" si="109"/>
        <v>0.13668805085633784</v>
      </c>
      <c r="AQ108" s="257">
        <f t="shared" si="109"/>
        <v>0.1131393696363456</v>
      </c>
      <c r="AR108" s="257">
        <f t="shared" si="109"/>
        <v>0.13324873096446702</v>
      </c>
      <c r="AS108" s="257">
        <f t="shared" si="109"/>
        <v>0.19062850269280188</v>
      </c>
      <c r="AT108" s="257">
        <f t="shared" si="109"/>
        <v>0.1912557630694694</v>
      </c>
      <c r="AU108" s="257">
        <f t="shared" si="109"/>
        <v>0.15837788407428249</v>
      </c>
      <c r="AV108" s="257">
        <f t="shared" si="109"/>
        <v>0.1796716722124676</v>
      </c>
      <c r="AW108" s="257">
        <f t="shared" si="109"/>
        <v>0.17690053317326365</v>
      </c>
      <c r="AX108" s="257">
        <f t="shared" si="109"/>
        <v>0.17173984143274426</v>
      </c>
      <c r="AY108" s="257">
        <f t="shared" si="109"/>
        <v>0.15537100971457601</v>
      </c>
      <c r="AZ108" s="257">
        <f t="shared" si="109"/>
        <v>0.16818950930626059</v>
      </c>
      <c r="BA108" s="257">
        <f t="shared" si="109"/>
        <v>0.15671683182961099</v>
      </c>
      <c r="BB108" s="257">
        <f t="shared" si="109"/>
        <v>0.15185469738693555</v>
      </c>
      <c r="BC108" s="257">
        <f t="shared" si="109"/>
        <v>0.14400756053590857</v>
      </c>
      <c r="BD108" s="257">
        <f t="shared" si="109"/>
        <v>0.14152001604552175</v>
      </c>
      <c r="BE108" s="257">
        <f t="shared" si="109"/>
        <v>0.1378355516675463</v>
      </c>
      <c r="BF108" s="257">
        <f t="shared" si="109"/>
        <v>0.15367645634011973</v>
      </c>
      <c r="BG108" s="257">
        <f t="shared" si="109"/>
        <v>0.15035766612083082</v>
      </c>
      <c r="BH108" s="257">
        <f t="shared" si="109"/>
        <v>0.17941293588941351</v>
      </c>
      <c r="BI108" s="257">
        <f t="shared" si="109"/>
        <v>0.17843318732672506</v>
      </c>
      <c r="BJ108" s="257">
        <f t="shared" si="109"/>
        <v>0.15280049740981941</v>
      </c>
      <c r="BK108" s="257">
        <f t="shared" si="109"/>
        <v>0.16607958186910909</v>
      </c>
      <c r="BL108" s="257">
        <f t="shared" si="109"/>
        <v>0.16958695029121876</v>
      </c>
      <c r="BM108" s="257">
        <f t="shared" si="109"/>
        <v>0.14989931779124066</v>
      </c>
      <c r="BN108" s="257">
        <f t="shared" si="109"/>
        <v>0.14614564385623785</v>
      </c>
      <c r="BO108" s="257">
        <f t="shared" ref="BO108:BX108" si="110">+BO85/BO88</f>
        <v>0.13755706827516129</v>
      </c>
      <c r="BP108" s="257">
        <f t="shared" si="110"/>
        <v>0.14917901261664682</v>
      </c>
      <c r="BQ108" s="257">
        <f t="shared" si="110"/>
        <v>0.15125745461903506</v>
      </c>
      <c r="BR108" s="257">
        <f t="shared" si="110"/>
        <v>0.15285498182523169</v>
      </c>
      <c r="BS108" s="257">
        <f t="shared" si="110"/>
        <v>0.15483459810682285</v>
      </c>
      <c r="BT108" s="257">
        <f t="shared" si="110"/>
        <v>0.15499291209631993</v>
      </c>
      <c r="BU108" s="257">
        <f t="shared" si="110"/>
        <v>0.1528550058522665</v>
      </c>
      <c r="BV108" s="257">
        <f t="shared" si="110"/>
        <v>0.19299147355184201</v>
      </c>
      <c r="BW108" s="257">
        <f t="shared" si="110"/>
        <v>0.16960067151312821</v>
      </c>
      <c r="BX108" s="257">
        <f t="shared" si="110"/>
        <v>0.16698490475254613</v>
      </c>
      <c r="BY108" s="257">
        <f t="shared" ref="BY108:CC108" si="111">+BY85/BY88</f>
        <v>0.16516227885119766</v>
      </c>
      <c r="BZ108" s="257">
        <f t="shared" si="111"/>
        <v>0.15395414975323699</v>
      </c>
      <c r="CA108" s="257">
        <f t="shared" si="111"/>
        <v>0.22905883094828289</v>
      </c>
      <c r="CB108" s="257">
        <f t="shared" si="111"/>
        <v>0.17832030255098896</v>
      </c>
      <c r="CC108" s="257">
        <f t="shared" si="111"/>
        <v>0.14785140035892738</v>
      </c>
      <c r="CD108" s="257">
        <f>+CD85/CD88</f>
        <v>0.13593362801537026</v>
      </c>
      <c r="CE108" s="257">
        <f>+CE85/CE88</f>
        <v>0.12509977730625282</v>
      </c>
      <c r="CF108" s="274">
        <f>+CF85/CF88</f>
        <v>0.11570939181907704</v>
      </c>
      <c r="CH108" s="457"/>
      <c r="CI108" s="457"/>
      <c r="CJ108" s="457"/>
      <c r="CK108" s="457"/>
      <c r="CL108" s="457"/>
      <c r="CM108" s="457"/>
      <c r="CN108" s="457"/>
      <c r="CO108" s="457"/>
      <c r="CP108" s="457"/>
      <c r="CS108" s="469"/>
    </row>
    <row r="109" spans="1:97" x14ac:dyDescent="0.2">
      <c r="A109" s="43" t="s">
        <v>178</v>
      </c>
      <c r="B109" s="116"/>
      <c r="C109" s="119">
        <f t="shared" ref="C109:AH109" si="112">C41/C100</f>
        <v>0</v>
      </c>
      <c r="D109" s="119">
        <f t="shared" si="112"/>
        <v>0</v>
      </c>
      <c r="E109" s="119">
        <f t="shared" si="112"/>
        <v>0</v>
      </c>
      <c r="F109" s="119">
        <f t="shared" si="112"/>
        <v>0</v>
      </c>
      <c r="G109" s="119">
        <f t="shared" si="112"/>
        <v>0</v>
      </c>
      <c r="H109" s="119">
        <f t="shared" si="112"/>
        <v>-5.2164840897235272E-4</v>
      </c>
      <c r="I109" s="119">
        <f t="shared" si="112"/>
        <v>5.5679287305122503E-4</v>
      </c>
      <c r="J109" s="119">
        <f t="shared" si="112"/>
        <v>-4.0338846308995562E-4</v>
      </c>
      <c r="K109" s="119">
        <f t="shared" si="112"/>
        <v>0</v>
      </c>
      <c r="L109" s="119">
        <f t="shared" si="112"/>
        <v>0</v>
      </c>
      <c r="M109" s="119">
        <f t="shared" si="112"/>
        <v>0</v>
      </c>
      <c r="N109" s="119">
        <f t="shared" si="112"/>
        <v>0</v>
      </c>
      <c r="O109" s="119">
        <f t="shared" si="112"/>
        <v>0</v>
      </c>
      <c r="P109" s="119">
        <f t="shared" si="112"/>
        <v>0</v>
      </c>
      <c r="Q109" s="119">
        <f t="shared" si="112"/>
        <v>0</v>
      </c>
      <c r="R109" s="119">
        <f t="shared" si="112"/>
        <v>0</v>
      </c>
      <c r="S109" s="119">
        <f t="shared" si="112"/>
        <v>0</v>
      </c>
      <c r="T109" s="119">
        <f t="shared" si="112"/>
        <v>0</v>
      </c>
      <c r="U109" s="119">
        <f t="shared" si="112"/>
        <v>0</v>
      </c>
      <c r="V109" s="119">
        <f t="shared" si="112"/>
        <v>4.8723445722081464E-5</v>
      </c>
      <c r="W109" s="119">
        <f t="shared" si="112"/>
        <v>0</v>
      </c>
      <c r="X109" s="119">
        <f t="shared" si="112"/>
        <v>0</v>
      </c>
      <c r="Y109" s="119">
        <f t="shared" si="112"/>
        <v>0</v>
      </c>
      <c r="Z109" s="119">
        <f t="shared" si="112"/>
        <v>0</v>
      </c>
      <c r="AA109" s="119">
        <f t="shared" si="112"/>
        <v>-2.2656214599664688E-4</v>
      </c>
      <c r="AB109" s="119">
        <f t="shared" si="112"/>
        <v>0</v>
      </c>
      <c r="AC109" s="119">
        <f t="shared" si="112"/>
        <v>0</v>
      </c>
      <c r="AD109" s="119">
        <f t="shared" si="112"/>
        <v>-4.1286397218600609E-4</v>
      </c>
      <c r="AE109" s="119">
        <f t="shared" si="112"/>
        <v>0</v>
      </c>
      <c r="AF109" s="119">
        <f t="shared" si="112"/>
        <v>0</v>
      </c>
      <c r="AG109" s="119">
        <f t="shared" si="112"/>
        <v>0</v>
      </c>
      <c r="AH109" s="119">
        <f t="shared" si="112"/>
        <v>0</v>
      </c>
      <c r="AI109" s="119">
        <f t="shared" ref="AI109:BN109" si="113">AI41/AI100</f>
        <v>0</v>
      </c>
      <c r="AJ109" s="119">
        <f t="shared" si="113"/>
        <v>0</v>
      </c>
      <c r="AK109" s="119">
        <f t="shared" si="113"/>
        <v>0</v>
      </c>
      <c r="AL109" s="119">
        <f t="shared" si="113"/>
        <v>0</v>
      </c>
      <c r="AM109" s="119">
        <f t="shared" si="113"/>
        <v>0</v>
      </c>
      <c r="AN109" s="119">
        <f t="shared" si="113"/>
        <v>0</v>
      </c>
      <c r="AO109" s="119">
        <f t="shared" si="113"/>
        <v>0</v>
      </c>
      <c r="AP109" s="119">
        <f t="shared" si="113"/>
        <v>0</v>
      </c>
      <c r="AQ109" s="119">
        <f t="shared" si="113"/>
        <v>0</v>
      </c>
      <c r="AR109" s="119">
        <f t="shared" si="113"/>
        <v>-1.4814814814814814E-3</v>
      </c>
      <c r="AS109" s="119">
        <f t="shared" si="113"/>
        <v>0</v>
      </c>
      <c r="AT109" s="119">
        <f t="shared" si="113"/>
        <v>0</v>
      </c>
      <c r="AU109" s="119">
        <f t="shared" si="113"/>
        <v>0</v>
      </c>
      <c r="AV109" s="119">
        <f t="shared" si="113"/>
        <v>0</v>
      </c>
      <c r="AW109" s="119">
        <f t="shared" si="113"/>
        <v>-3.5997120230381568E-4</v>
      </c>
      <c r="AX109" s="119">
        <f t="shared" si="113"/>
        <v>0</v>
      </c>
      <c r="AY109" s="119">
        <f t="shared" si="113"/>
        <v>0</v>
      </c>
      <c r="AZ109" s="119">
        <f t="shared" si="113"/>
        <v>0</v>
      </c>
      <c r="BA109" s="119">
        <f t="shared" si="113"/>
        <v>0</v>
      </c>
      <c r="BB109" s="119">
        <f t="shared" si="113"/>
        <v>-3.0432136335970786E-4</v>
      </c>
      <c r="BC109" s="119">
        <f t="shared" si="113"/>
        <v>-2.45398773006135E-5</v>
      </c>
      <c r="BD109" s="119">
        <f t="shared" si="113"/>
        <v>-2.2241992882562279E-5</v>
      </c>
      <c r="BE109" s="119">
        <f t="shared" si="113"/>
        <v>2.0304568527918785E-5</v>
      </c>
      <c r="BF109" s="119">
        <f t="shared" si="113"/>
        <v>9.348030506105337E-5</v>
      </c>
      <c r="BG109" s="119">
        <f t="shared" si="113"/>
        <v>-1.7345242184816215E-5</v>
      </c>
      <c r="BH109" s="119">
        <f t="shared" si="113"/>
        <v>-3.7588654950408909E-5</v>
      </c>
      <c r="BI109" s="119">
        <f t="shared" si="113"/>
        <v>-7.811872767477462E-6</v>
      </c>
      <c r="BJ109" s="119">
        <f t="shared" si="113"/>
        <v>2.2517618199833048E-5</v>
      </c>
      <c r="BK109" s="119">
        <f t="shared" si="113"/>
        <v>-1.9600689353821641E-5</v>
      </c>
      <c r="BL109" s="119">
        <f t="shared" si="113"/>
        <v>-3.3471458773784355E-5</v>
      </c>
      <c r="BM109" s="119">
        <f t="shared" si="113"/>
        <v>-2.26024208566108E-5</v>
      </c>
      <c r="BN109" s="119">
        <f t="shared" si="113"/>
        <v>2.1604546010020776E-6</v>
      </c>
      <c r="BO109" s="119">
        <f t="shared" ref="BO109:CE109" si="114">BO41/BO100</f>
        <v>2.4551787141715197E-5</v>
      </c>
      <c r="BP109" s="119">
        <f t="shared" si="114"/>
        <v>7.9832664481293137E-6</v>
      </c>
      <c r="BQ109" s="119">
        <f t="shared" si="114"/>
        <v>8.960573476702509E-6</v>
      </c>
      <c r="BR109" s="119">
        <f t="shared" si="114"/>
        <v>2.6578256979083727E-6</v>
      </c>
      <c r="BS109" s="119">
        <f t="shared" si="114"/>
        <v>3.5969752707950128E-5</v>
      </c>
      <c r="BT109" s="119">
        <f t="shared" si="114"/>
        <v>-7.0806421414127633E-5</v>
      </c>
      <c r="BU109" s="119">
        <f t="shared" si="114"/>
        <v>-4.3197994813463519E-5</v>
      </c>
      <c r="BV109" s="119">
        <f t="shared" si="114"/>
        <v>-3.6147974168914588E-5</v>
      </c>
      <c r="BW109" s="250">
        <f t="shared" si="114"/>
        <v>-1.0646457514773994E-4</v>
      </c>
      <c r="BX109" s="250">
        <f t="shared" si="114"/>
        <v>1.4560203721174049E-4</v>
      </c>
      <c r="BY109" s="250">
        <f t="shared" si="114"/>
        <v>-3.7888963811875105E-5</v>
      </c>
      <c r="BZ109" s="119">
        <f t="shared" si="114"/>
        <v>2.3922576544780924E-5</v>
      </c>
      <c r="CA109" s="132">
        <f t="shared" si="114"/>
        <v>4.1238555086398396E-5</v>
      </c>
      <c r="CB109" s="119">
        <f t="shared" si="114"/>
        <v>-3.545795158641744E-4</v>
      </c>
      <c r="CC109" s="306">
        <f t="shared" si="114"/>
        <v>-2.7172626480153808E-5</v>
      </c>
      <c r="CD109" s="310">
        <f t="shared" si="114"/>
        <v>6.0389277513579337E-5</v>
      </c>
      <c r="CE109" s="310">
        <f t="shared" si="114"/>
        <v>8.2342017429256692E-5</v>
      </c>
      <c r="CF109" s="333">
        <f>CF41/CF100</f>
        <v>-4.6477129136088896E-5</v>
      </c>
      <c r="CG109" s="457"/>
      <c r="CH109" s="457"/>
      <c r="CI109" s="457"/>
      <c r="CJ109" s="457"/>
      <c r="CK109" s="457"/>
      <c r="CL109" s="457"/>
      <c r="CM109" s="457"/>
      <c r="CN109" s="457"/>
      <c r="CO109" s="457"/>
      <c r="CP109" s="457"/>
      <c r="CS109" s="469"/>
    </row>
    <row r="110" spans="1:97" x14ac:dyDescent="0.2">
      <c r="A110" s="43" t="s">
        <v>46</v>
      </c>
      <c r="B110" s="211"/>
      <c r="C110" s="122">
        <v>2.1100000000000001E-2</v>
      </c>
      <c r="D110" s="122">
        <v>2.1299999999999999E-2</v>
      </c>
      <c r="E110" s="122">
        <v>2.24E-2</v>
      </c>
      <c r="F110" s="122">
        <v>1.54E-2</v>
      </c>
      <c r="G110" s="122">
        <v>1.49E-2</v>
      </c>
      <c r="H110" s="122">
        <v>1.6E-2</v>
      </c>
      <c r="I110" s="122">
        <v>1.4200000000000001E-2</v>
      </c>
      <c r="J110" s="122">
        <v>1.2500000000000001E-2</v>
      </c>
      <c r="K110" s="122">
        <v>0.01</v>
      </c>
      <c r="L110" s="122">
        <v>8.0999999999999996E-3</v>
      </c>
      <c r="M110" s="122">
        <v>5.4000000000000003E-3</v>
      </c>
      <c r="N110" s="122">
        <v>5.4000000000000003E-3</v>
      </c>
      <c r="O110" s="122">
        <v>5.4000000000000003E-3</v>
      </c>
      <c r="P110" s="122">
        <v>3.7000000000000002E-3</v>
      </c>
      <c r="Q110" s="122">
        <v>4.0000000000000001E-3</v>
      </c>
      <c r="R110" s="122">
        <v>4.7000000000000002E-3</v>
      </c>
      <c r="S110" s="122">
        <v>5.1999999999999998E-3</v>
      </c>
      <c r="T110" s="122">
        <v>5.7000000000000002E-3</v>
      </c>
      <c r="U110" s="122">
        <v>3.5000000000000001E-3</v>
      </c>
      <c r="V110" s="122">
        <v>3.3999999999999998E-3</v>
      </c>
      <c r="W110" s="122">
        <v>5.5999999999999999E-3</v>
      </c>
      <c r="X110" s="122">
        <v>7.4999999999999997E-3</v>
      </c>
      <c r="Y110" s="122">
        <v>9.4000000000000004E-3</v>
      </c>
      <c r="Z110" s="122">
        <v>1.35E-2</v>
      </c>
      <c r="AA110" s="122">
        <v>1.6799999999999999E-2</v>
      </c>
      <c r="AB110" s="122">
        <v>1.8599999999999998E-2</v>
      </c>
      <c r="AC110" s="123">
        <v>2.1000000000000001E-2</v>
      </c>
      <c r="AD110" s="123">
        <v>2.3E-2</v>
      </c>
      <c r="AE110" s="123">
        <v>2.5899999999999999E-2</v>
      </c>
      <c r="AF110" s="123">
        <v>2.9600000000000001E-2</v>
      </c>
      <c r="AG110" s="123">
        <v>3.2899999999999999E-2</v>
      </c>
      <c r="AH110" s="123">
        <v>2.2700000000000001E-2</v>
      </c>
      <c r="AI110" s="123">
        <v>7.9000000000000008E-3</v>
      </c>
      <c r="AJ110" s="122">
        <v>1.4E-3</v>
      </c>
      <c r="AK110" s="124">
        <v>1E-3</v>
      </c>
      <c r="AL110" s="122">
        <v>8.4999999999999995E-4</v>
      </c>
      <c r="AM110" s="123">
        <v>9.3999999999999997E-4</v>
      </c>
      <c r="AN110" s="122">
        <v>1.1100000000000001E-3</v>
      </c>
      <c r="AO110" s="122">
        <v>2.2000000000000001E-3</v>
      </c>
      <c r="AP110" s="122">
        <v>3.5999999999999999E-3</v>
      </c>
      <c r="AQ110" s="122">
        <v>5.1999999999999998E-3</v>
      </c>
      <c r="AR110" s="122">
        <v>7.4999999999999997E-3</v>
      </c>
      <c r="AS110" s="124">
        <v>9.4999999999999998E-3</v>
      </c>
      <c r="AT110" s="123">
        <v>8.8999999999999999E-3</v>
      </c>
      <c r="AU110" s="123">
        <v>7.1000000000000004E-3</v>
      </c>
      <c r="AV110" s="122">
        <v>6.6E-3</v>
      </c>
      <c r="AW110" s="122">
        <v>6.6E-3</v>
      </c>
      <c r="AX110" s="122">
        <f>+((15575-4660)/((((AW85-AW86)+(AX85-AX86))/2)*1000))*4</f>
        <v>3.8736580605092715E-3</v>
      </c>
      <c r="AY110" s="122">
        <f>+((11020-4016)/((((AX85-AX86)+(AY85-AY86))/2)*1000))*4</f>
        <v>2.5901169509545603E-3</v>
      </c>
      <c r="AZ110" s="122">
        <f>+((12039-4743)/((((AY85-AY86)+(AZ85-AZ86))/2)*1000))*4</f>
        <v>2.6476752097981402E-3</v>
      </c>
      <c r="BA110" s="122">
        <f>+((12617-5074)/((((AZ85-AZ86)+(BA85-BA86))/2)*1000))*4</f>
        <v>2.5319302485608312E-3</v>
      </c>
      <c r="BB110" s="122">
        <f>+((12410-5034)/((((BA85-BA86)+(BB85-BB86))/2)*1000))*4</f>
        <v>2.3410113384802153E-3</v>
      </c>
      <c r="BC110" s="122">
        <f>+((11406-6607)/((((BB85-BB86)+(BC85-BC86))/2)*1000))*4</f>
        <v>1.478036573628489E-3</v>
      </c>
      <c r="BD110" s="122">
        <f>+((13030-7887)/((((BC85-BC86)+(BD85-BD86))/2)*1000))*4</f>
        <v>1.5368295233826386E-3</v>
      </c>
      <c r="BE110" s="122">
        <f>+((9003-8462)/((((BD85-BD86)+(BE85-BE86))/2)*1000))*4</f>
        <v>1.5974605986786254E-4</v>
      </c>
      <c r="BF110" s="122">
        <f>+((9332-9442)/((((BE85-BE86)+(BF85-BF86))/2)*1000))*4</f>
        <v>-3.0002580093817964E-5</v>
      </c>
      <c r="BG110" s="122">
        <f>+((2010-1984)/((((BF85-BF86)+(BG85-BG86))/2)*1000))*4</f>
        <v>5.9374607049491191E-6</v>
      </c>
      <c r="BH110" s="122">
        <f>+((3015-2984)/((((BG85-BG86)+(BH85-BH86))/2)*1000))*4</f>
        <v>5.7345018151548082E-6</v>
      </c>
      <c r="BI110" s="123">
        <f>+((3585-3428)/((((BH85-BH86)+(BI85-BI86))/2)*1000))*4</f>
        <v>2.5989719024401659E-5</v>
      </c>
      <c r="BJ110" s="122">
        <f>+((3709-3651)/((((BI85-BI86)+(BJ85-BJ86))/2)*1000))*4</f>
        <v>9.8701524447884875E-6</v>
      </c>
      <c r="BK110" s="122">
        <f>+((3671-3576)/((((BJ85-BJ86)+(BK85-BK86))/2)*1000))*4</f>
        <v>1.6051635752401989E-5</v>
      </c>
      <c r="BL110" s="122">
        <f>+((4745-4703)/((((BK85-BK86)+(BL85-BL86))/2)*1000))*4</f>
        <v>6.5907446253872879E-6</v>
      </c>
      <c r="BM110" s="122">
        <f>+((5594-5623)/((((BL85-BL86)+(BM85-BM86))/2)*1000))*4</f>
        <v>-4.4186267974478619E-6</v>
      </c>
      <c r="BN110" s="122">
        <f>+((6255-6247)/((((BM85-BM86)+(BN85-BN86))/2)*1000))*4</f>
        <v>1.2210245158828579E-6</v>
      </c>
      <c r="BO110" s="122">
        <f>+((3811-3867)/((((BN85-BN86)+(BO85-BO86))/2)*1000))*4</f>
        <v>-8.4528108885946403E-6</v>
      </c>
      <c r="BP110" s="123">
        <f>+((5430-5446)/((((BO85-BO86)+(BP85-BP86))/2)*1000))*4</f>
        <v>-2.2576257962917933E-6</v>
      </c>
      <c r="BQ110" s="122">
        <f>+((6303-6339)/((((BP85-BP86)+(BQ85-BQ86))/2)*1000))*4</f>
        <v>-4.7116865894241997E-6</v>
      </c>
      <c r="BR110" s="122">
        <f>+((6525-6658)/((((BQ85-BQ86)+(BR85-BR86))/2)*1000))*4</f>
        <v>-1.7105107660219826E-5</v>
      </c>
      <c r="BS110" s="122">
        <f>+((5551-5600)/((((BR85-BR86)+(BS85-BS86))/2)*1000))*4</f>
        <v>-6.1935507623951724E-6</v>
      </c>
      <c r="BT110" s="122">
        <f>+((7217-7264)/((((BS85-BS86)+(BT85-BT86))/2)*1000))*4</f>
        <v>-5.6826779341676274E-6</v>
      </c>
      <c r="BU110" s="122">
        <f>+((7812-7997)/((((BT85-BT86)+(BU85-BU86))/2)*1000))*4</f>
        <v>-2.1222897431084396E-5</v>
      </c>
      <c r="BV110" s="122">
        <f>+((8914-9070)/((((BU85-BU86)+(BV85-BV86))/2)*1000))*4</f>
        <v>-1.6728483604150083E-5</v>
      </c>
      <c r="BW110" s="123">
        <f>+((6627-6662)/((((BV85-BV86)+(BW85-BW86))/2)*1000))*4</f>
        <v>-3.7034475287450273E-6</v>
      </c>
      <c r="BX110" s="123">
        <f>+((8403-8358)/((((BW85-BW86)+(BX85-BX86))/2)*1000))*4</f>
        <v>4.7456132259125467E-6</v>
      </c>
      <c r="BY110" s="123">
        <f>+((9210-9296)/((((BX85-BX86)+(BY85-BY86))/2)*1000))*4</f>
        <v>-8.6629613578684911E-6</v>
      </c>
      <c r="BZ110" s="122">
        <f>+((9765-9665)/((((BY85-BY86)+(BZ85-BZ86))/2)*1000))*4</f>
        <v>9.9388697173913622E-6</v>
      </c>
      <c r="CA110" s="122">
        <f>+((7512-7650)/((((BZ85-BZ86)+(CA85-CA86))/2)*1000))*4</f>
        <v>-1.0980003508568851E-5</v>
      </c>
      <c r="CB110" s="122">
        <f>+((10819-10914)/((((CA85-CA86)+(CB85-CB86))/2)*1000))*4</f>
        <v>-6.6612528726601752E-6</v>
      </c>
      <c r="CC110" s="122">
        <f>+((10775-10759)/((((CB85-CB86)+(CC85-CC86))/2)*1000))*4</f>
        <v>1.2297666854542534E-6</v>
      </c>
      <c r="CD110" s="122">
        <f>+((11293-11534)/((((CC85-CC86)+(CD85-CD86))/2)*1000))*4</f>
        <v>-1.9253941445557143E-5</v>
      </c>
      <c r="CE110" s="122">
        <f>+((9742-10554)/((((CD85-CD86)+(CE85-CE86))/2)*1000))*4</f>
        <v>-6.3284302624193878E-5</v>
      </c>
      <c r="CF110" s="496">
        <f>+((12784-12821)/((((CE85-CE86)+(CF85-CF86))/2)*1000))*4</f>
        <v>-2.7834435901463044E-6</v>
      </c>
      <c r="CG110" s="507"/>
      <c r="CH110" s="457"/>
      <c r="CI110" s="457"/>
      <c r="CJ110" s="457"/>
      <c r="CK110" s="457"/>
      <c r="CL110" s="457"/>
      <c r="CM110" s="457"/>
      <c r="CN110" s="457"/>
      <c r="CO110" s="457"/>
      <c r="CP110" s="457"/>
      <c r="CS110" s="469"/>
    </row>
    <row r="111" spans="1:97" x14ac:dyDescent="0.2">
      <c r="A111" s="104" t="s">
        <v>121</v>
      </c>
      <c r="B111" s="212"/>
      <c r="C111" s="213">
        <v>9.3299999999999994E-2</v>
      </c>
      <c r="D111" s="213">
        <v>8.5900000000000004E-2</v>
      </c>
      <c r="E111" s="213">
        <v>0.13170000000000001</v>
      </c>
      <c r="F111" s="213">
        <v>8.4500000000000006E-2</v>
      </c>
      <c r="G111" s="213">
        <v>8.4699999999999998E-2</v>
      </c>
      <c r="H111" s="213">
        <v>8.4900000000000003E-2</v>
      </c>
      <c r="I111" s="213">
        <v>9.0399999999999994E-2</v>
      </c>
      <c r="J111" s="213">
        <v>9.2899999999999996E-2</v>
      </c>
      <c r="K111" s="213">
        <v>8.1100000000000005E-2</v>
      </c>
      <c r="L111" s="213">
        <v>7.5999999999999998E-2</v>
      </c>
      <c r="M111" s="213">
        <v>6.7699999999999996E-2</v>
      </c>
      <c r="N111" s="213">
        <v>6.7000000000000004E-2</v>
      </c>
      <c r="O111" s="213">
        <v>6.4199999999999993E-2</v>
      </c>
      <c r="P111" s="213">
        <v>5.4300000000000001E-2</v>
      </c>
      <c r="Q111" s="213">
        <v>5.4699999999999999E-2</v>
      </c>
      <c r="R111" s="213">
        <v>5.2499999999999998E-2</v>
      </c>
      <c r="S111" s="213">
        <v>5.2499999999999998E-2</v>
      </c>
      <c r="T111" s="213">
        <v>5.1200000000000002E-2</v>
      </c>
      <c r="U111" s="213">
        <v>4.6699999999999998E-2</v>
      </c>
      <c r="V111" s="213">
        <v>4.4999999999999998E-2</v>
      </c>
      <c r="W111" s="213">
        <v>4.9099999999999998E-2</v>
      </c>
      <c r="X111" s="213">
        <v>5.4600000000000003E-2</v>
      </c>
      <c r="Y111" s="213">
        <v>5.4600000000000003E-2</v>
      </c>
      <c r="Z111" s="213">
        <v>5.5800000000000002E-2</v>
      </c>
      <c r="AA111" s="213">
        <v>0.06</v>
      </c>
      <c r="AB111" s="213">
        <v>6.1899999999999997E-2</v>
      </c>
      <c r="AC111" s="214">
        <v>6.2E-2</v>
      </c>
      <c r="AD111" s="214">
        <v>6.8000000000000005E-2</v>
      </c>
      <c r="AE111" s="214">
        <v>6.7000000000000004E-2</v>
      </c>
      <c r="AF111" s="214">
        <v>7.1999999999999995E-2</v>
      </c>
      <c r="AG111" s="214">
        <v>7.2599999999999998E-2</v>
      </c>
      <c r="AH111" s="214">
        <v>6.1100000000000002E-2</v>
      </c>
      <c r="AI111" s="214">
        <v>4.6199999999999998E-2</v>
      </c>
      <c r="AJ111" s="213">
        <v>3.8800000000000001E-2</v>
      </c>
      <c r="AK111" s="215">
        <v>3.3399999999999999E-2</v>
      </c>
      <c r="AL111" s="213">
        <v>3.4500000000000003E-2</v>
      </c>
      <c r="AM111" s="214">
        <v>3.3799999999999997E-2</v>
      </c>
      <c r="AN111" s="213">
        <v>3.2599999999999997E-2</v>
      </c>
      <c r="AO111" s="213">
        <v>3.3500000000000002E-2</v>
      </c>
      <c r="AP111" s="213">
        <v>3.9100000000000003E-2</v>
      </c>
      <c r="AQ111" s="213">
        <v>4.4499999999999998E-2</v>
      </c>
      <c r="AR111" s="213">
        <v>4.8099999999999997E-2</v>
      </c>
      <c r="AS111" s="215">
        <v>5.0299999999999997E-2</v>
      </c>
      <c r="AT111" s="214">
        <v>5.0999999999999997E-2</v>
      </c>
      <c r="AU111" s="214">
        <v>4.9799999999999997E-2</v>
      </c>
      <c r="AV111" s="213">
        <v>5.1900000000000002E-2</v>
      </c>
      <c r="AW111" s="213">
        <v>5.21E-2</v>
      </c>
      <c r="AX111" s="213">
        <f>+(((35493-4660)/(((AW100+AX100)/2)*1000))*4)</f>
        <v>4.3742507536797308E-2</v>
      </c>
      <c r="AY111" s="213">
        <f>+(((34731-4016)/(((AX100+AY100)/2)*1000))*4)</f>
        <v>4.1415809876959378E-2</v>
      </c>
      <c r="AZ111" s="213">
        <f>+(((34631-4743)/(((AY100+AZ100)/2)*1000))*4)</f>
        <v>3.9957219251336898E-2</v>
      </c>
      <c r="BA111" s="213">
        <f>+(((34394-5074)/(((AZ100+BA100)/2)*1000))*4)</f>
        <v>3.8821582257530622E-2</v>
      </c>
      <c r="BB111" s="213">
        <f>+(((37390-5034)/(((BA100+BB100)/2)*1000))*4)</f>
        <v>4.0344139650872815E-2</v>
      </c>
      <c r="BC111" s="213">
        <f>+(((39754-6607)/(((BB100+BC100)/2)*1000))*4)</f>
        <v>3.6024453199293573E-2</v>
      </c>
      <c r="BD111" s="213">
        <f>+(((43621-7887)/(((BC100+BD100)/2)*1000))*4)</f>
        <v>3.33534010033835E-2</v>
      </c>
      <c r="BE111" s="213">
        <f>+(((43940-8462)/(((BD100+BE100)/2)*1000))*4)</f>
        <v>3.0126738138201891E-2</v>
      </c>
      <c r="BF111" s="213">
        <f>+(((44100-9442)/(((BE100+BF100)/2)*1000))*4)</f>
        <v>2.6987692232466051E-2</v>
      </c>
      <c r="BG111" s="213">
        <f>+(((37221-1984)/(((BF100+BG100)/2)*1000))*4)</f>
        <v>2.5235257339575042E-2</v>
      </c>
      <c r="BH111" s="213">
        <f>+(((38635-2984)/(((BG100+BH100)/2)*1000))*4)</f>
        <v>2.4652778978304087E-2</v>
      </c>
      <c r="BI111" s="214">
        <f>+(((39325-3428)/(((BH100+BI100)/2)*1000))*4)</f>
        <v>2.4701186994667126E-2</v>
      </c>
      <c r="BJ111" s="213">
        <f>+(((41880-3651)/(((BI100+BJ100)/2)*1000))*4)</f>
        <v>2.4625716708823551E-2</v>
      </c>
      <c r="BK111" s="213">
        <f>+(((42826-3576)/(((BJ100+BK100)/2)*1000))*4)</f>
        <v>2.373608480013158E-2</v>
      </c>
      <c r="BL111" s="213">
        <f>+(((41796-4703)/(((BK100+BL100)/2)*1000))*4)</f>
        <v>2.2293825543668142E-2</v>
      </c>
      <c r="BM111" s="213">
        <f>+(((41746-5623)/(((BL100+BM100)/2)*1000))*4)</f>
        <v>2.0437340876944838E-2</v>
      </c>
      <c r="BN111" s="213">
        <f>+(((46110-6247)/(((BM100+BN100)/2)*1000))*4)</f>
        <v>2.0311062989618496E-2</v>
      </c>
      <c r="BO111" s="213">
        <f>+(((45603-3867)/(((BN100+BO100)/2)*1000))*4)</f>
        <v>1.9710035419126328E-2</v>
      </c>
      <c r="BP111" s="214">
        <f>+(((46958-5446)/(((BO100+BP100)/2)*1000))*4)</f>
        <v>1.8949474704108054E-2</v>
      </c>
      <c r="BQ111" s="213">
        <f>+(((47905-6339)/(((BP100+BQ100)/2)*1000))*4)</f>
        <v>1.8790777478262379E-2</v>
      </c>
      <c r="BR111" s="213">
        <f>+(((49214-6658)/(((BQ100+BR100)/2)*1000))*4)</f>
        <v>1.8459925965433187E-2</v>
      </c>
      <c r="BS111" s="213">
        <f>+(((50674-5600)/(((BR100+BS100)/2)*1000))*4)</f>
        <v>1.8682996542285574E-2</v>
      </c>
      <c r="BT111" s="213">
        <f>+(((51739-7264)/(((BS100+BT100)/2)*1000))*4)</f>
        <v>1.8086520362407509E-2</v>
      </c>
      <c r="BU111" s="213">
        <f>+(((53251-7997)/(((BT100+BU100)/2)*1000))*4)</f>
        <v>1.8078578267487218E-2</v>
      </c>
      <c r="BV111" s="213">
        <f>+(((52510-9070)/(((BU100+BV100)/2)*1000))*4)</f>
        <v>1.6960733799853953E-2</v>
      </c>
      <c r="BW111" s="214">
        <f>+(((50800-6662)/(((BV100+BW100)/2)*1000))*4)</f>
        <v>1.6463856873062465E-2</v>
      </c>
      <c r="BX111" s="214">
        <f>+(((54716-8358)/(((BW100+BX100)/2)*1000))*4)</f>
        <v>1.6525664487125363E-2</v>
      </c>
      <c r="BY111" s="214">
        <f>+(((56887-9296)/(((BX100+BY100)/2)*1000))*4)</f>
        <v>1.6314463036927483E-2</v>
      </c>
      <c r="BZ111" s="213">
        <f>+(((60516-9665)/(((BY100+BZ100)/2)*1000))*4)</f>
        <v>1.6202306330558032E-2</v>
      </c>
      <c r="CA111" s="213">
        <f>+(((67362-7650)/(((BZ100+CA100)/2)*1000))*4)</f>
        <v>1.8523888207836132E-2</v>
      </c>
      <c r="CB111" s="213">
        <f>+(((69948-10914)/(((CA100+CB100)/2)*1000))*4)</f>
        <v>1.7700320801485033E-2</v>
      </c>
      <c r="CC111" s="213">
        <f>+(((77321-10759)/(((CB100+CC100)/2)*1000))*4)</f>
        <v>1.8281604483864261E-2</v>
      </c>
      <c r="CD111" s="213">
        <f>+(((85389-11534)/(((CC100+CD100)/2)*1000))*4)</f>
        <v>1.8806891244330409E-2</v>
      </c>
      <c r="CE111" s="213">
        <f>+(((90594-10554)/(((CD100+CE100)/2)*1000))*4)</f>
        <v>1.8986322800550383E-2</v>
      </c>
      <c r="CF111" s="497">
        <f>+(((95318-12821)/(((CE100+CF100)/2)*1000))*4)</f>
        <v>1.8375260030395309E-2</v>
      </c>
      <c r="CH111" s="457"/>
      <c r="CI111" s="457"/>
      <c r="CJ111" s="457"/>
      <c r="CK111" s="457"/>
      <c r="CL111" s="457"/>
      <c r="CM111" s="457"/>
      <c r="CN111" s="457"/>
      <c r="CO111" s="457"/>
      <c r="CP111" s="457"/>
      <c r="CQ111" s="103"/>
      <c r="CS111" s="469"/>
    </row>
    <row r="112" spans="1:97" x14ac:dyDescent="0.2">
      <c r="A112" s="114"/>
      <c r="B112" s="126"/>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9"/>
      <c r="AD112" s="29"/>
      <c r="AE112" s="29"/>
      <c r="AF112" s="29"/>
      <c r="AG112" s="29"/>
      <c r="AH112" s="29"/>
      <c r="AI112" s="29"/>
      <c r="AJ112" s="28"/>
      <c r="AK112" s="7"/>
      <c r="AL112" s="28"/>
      <c r="AM112" s="29"/>
      <c r="AN112" s="28"/>
      <c r="AO112" s="28"/>
      <c r="AP112" s="28"/>
      <c r="AQ112" s="28"/>
      <c r="AR112" s="28"/>
      <c r="AS112" s="7"/>
      <c r="AT112" s="29"/>
      <c r="AU112" s="29"/>
      <c r="AV112" s="28"/>
      <c r="AW112" s="28"/>
      <c r="AX112" s="28"/>
      <c r="AY112" s="28"/>
      <c r="AZ112" s="28"/>
      <c r="BA112" s="28"/>
      <c r="BB112" s="28"/>
      <c r="BC112" s="28"/>
      <c r="BD112" s="28"/>
      <c r="BE112" s="28"/>
      <c r="BF112" s="28"/>
      <c r="BG112" s="28"/>
      <c r="BH112" s="28"/>
      <c r="BI112" s="29"/>
      <c r="BJ112" s="28"/>
      <c r="BK112" s="28"/>
      <c r="BL112" s="28"/>
      <c r="BM112" s="28"/>
      <c r="BN112" s="28"/>
      <c r="BO112" s="28"/>
      <c r="BP112" s="113"/>
      <c r="BQ112" s="28"/>
      <c r="BR112" s="113"/>
      <c r="BS112" s="28"/>
      <c r="BT112" s="28"/>
      <c r="BU112" s="28"/>
      <c r="BV112" s="32"/>
      <c r="BW112" s="29"/>
      <c r="BX112" s="29"/>
      <c r="BY112" s="29"/>
      <c r="BZ112" s="28"/>
      <c r="CA112" s="28"/>
      <c r="CB112" s="28"/>
      <c r="CC112" s="291"/>
      <c r="CD112" s="291"/>
      <c r="CE112" s="291"/>
      <c r="CF112" s="268"/>
      <c r="CH112" s="457"/>
      <c r="CI112" s="457"/>
      <c r="CJ112" s="457"/>
      <c r="CK112" s="457"/>
      <c r="CL112" s="457"/>
      <c r="CM112" s="457"/>
      <c r="CN112" s="457"/>
      <c r="CO112" s="457"/>
      <c r="CP112" s="457"/>
    </row>
    <row r="113" spans="1:94" x14ac:dyDescent="0.2">
      <c r="A113" s="237" t="s">
        <v>129</v>
      </c>
      <c r="B113" s="65"/>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9"/>
      <c r="AD113" s="29"/>
      <c r="AE113" s="29"/>
      <c r="AF113" s="29"/>
      <c r="AG113" s="29"/>
      <c r="AH113" s="29"/>
      <c r="AI113" s="29"/>
      <c r="AJ113" s="28"/>
      <c r="AK113" s="7"/>
      <c r="AL113" s="28"/>
      <c r="AM113" s="29"/>
      <c r="AN113" s="28"/>
      <c r="AO113" s="28"/>
      <c r="AP113" s="28"/>
      <c r="AQ113" s="28"/>
      <c r="AR113" s="28"/>
      <c r="AS113" s="7"/>
      <c r="AT113" s="29"/>
      <c r="AU113" s="29"/>
      <c r="AV113" s="28"/>
      <c r="AW113" s="28"/>
      <c r="AX113" s="28"/>
      <c r="AY113" s="28"/>
      <c r="AZ113" s="28"/>
      <c r="BA113" s="28"/>
      <c r="BB113" s="28"/>
      <c r="BC113" s="28"/>
      <c r="BD113" s="28"/>
      <c r="BE113" s="28"/>
      <c r="BF113" s="28"/>
      <c r="BG113" s="28"/>
      <c r="BH113" s="28"/>
      <c r="BI113" s="29"/>
      <c r="BJ113" s="28"/>
      <c r="BK113" s="28"/>
      <c r="BL113" s="28"/>
      <c r="BM113" s="28"/>
      <c r="BN113" s="28"/>
      <c r="BO113" s="28"/>
      <c r="BP113" s="113"/>
      <c r="BQ113" s="28"/>
      <c r="BR113" s="113"/>
      <c r="BS113" s="28"/>
      <c r="BT113" s="28"/>
      <c r="BU113" s="28"/>
      <c r="BV113" s="32"/>
      <c r="BW113" s="29"/>
      <c r="BX113" s="29"/>
      <c r="BY113" s="29"/>
      <c r="BZ113" s="28"/>
      <c r="CA113" s="28"/>
      <c r="CB113" s="28"/>
      <c r="CC113" s="291"/>
      <c r="CD113" s="291"/>
      <c r="CE113" s="291"/>
      <c r="CF113" s="268"/>
      <c r="CH113" s="457"/>
      <c r="CI113" s="457"/>
      <c r="CJ113" s="457"/>
      <c r="CK113" s="457"/>
      <c r="CL113" s="457"/>
      <c r="CM113" s="457"/>
      <c r="CN113" s="457"/>
      <c r="CO113" s="457"/>
      <c r="CP113" s="457"/>
    </row>
    <row r="114" spans="1:94" x14ac:dyDescent="0.2">
      <c r="A114" s="43" t="s">
        <v>184</v>
      </c>
      <c r="B114" s="44"/>
      <c r="C114" s="45">
        <v>175947</v>
      </c>
      <c r="D114" s="45">
        <v>121482</v>
      </c>
      <c r="E114" s="45">
        <v>141849</v>
      </c>
      <c r="F114" s="45">
        <v>231096</v>
      </c>
      <c r="G114" s="45">
        <v>184721</v>
      </c>
      <c r="H114" s="45">
        <v>136970</v>
      </c>
      <c r="I114" s="45">
        <v>170688</v>
      </c>
      <c r="J114" s="45">
        <v>271392</v>
      </c>
      <c r="K114" s="45">
        <v>168346</v>
      </c>
      <c r="L114" s="45">
        <v>181199</v>
      </c>
      <c r="M114" s="45">
        <v>273974</v>
      </c>
      <c r="N114" s="45">
        <v>309242</v>
      </c>
      <c r="O114" s="45">
        <v>489153</v>
      </c>
      <c r="P114" s="45">
        <v>288851</v>
      </c>
      <c r="Q114" s="45">
        <v>227554</v>
      </c>
      <c r="R114" s="45">
        <v>322486</v>
      </c>
      <c r="S114" s="45">
        <v>379933</v>
      </c>
      <c r="T114" s="45">
        <v>402080</v>
      </c>
      <c r="U114" s="45">
        <v>492314</v>
      </c>
      <c r="V114" s="45">
        <v>552590</v>
      </c>
      <c r="W114" s="45">
        <v>780571</v>
      </c>
      <c r="X114" s="45">
        <v>777772</v>
      </c>
      <c r="Y114" s="45">
        <v>555336</v>
      </c>
      <c r="Z114" s="45">
        <v>760641</v>
      </c>
      <c r="AA114" s="45">
        <v>986161</v>
      </c>
      <c r="AB114" s="45">
        <v>863458</v>
      </c>
      <c r="AC114" s="46">
        <v>879915</v>
      </c>
      <c r="AD114" s="46">
        <v>1060876</v>
      </c>
      <c r="AE114" s="46">
        <v>1043144</v>
      </c>
      <c r="AF114" s="46">
        <v>925216</v>
      </c>
      <c r="AG114" s="46">
        <v>940381</v>
      </c>
      <c r="AH114" s="46">
        <v>1166520</v>
      </c>
      <c r="AI114" s="46">
        <v>1145757</v>
      </c>
      <c r="AJ114" s="45">
        <v>1559585</v>
      </c>
      <c r="AK114" s="47">
        <v>1487321</v>
      </c>
      <c r="AL114" s="45">
        <v>1713294</v>
      </c>
      <c r="AM114" s="46">
        <v>1936210</v>
      </c>
      <c r="AN114" s="45">
        <v>1963379</v>
      </c>
      <c r="AO114" s="45">
        <v>1640897</v>
      </c>
      <c r="AP114" s="45">
        <v>2013851</v>
      </c>
      <c r="AQ114" s="45">
        <v>2291024</v>
      </c>
      <c r="AR114" s="45">
        <v>1754584</v>
      </c>
      <c r="AS114" s="47">
        <v>1914395</v>
      </c>
      <c r="AT114" s="46">
        <v>1689853</v>
      </c>
      <c r="AU114" s="46">
        <v>2129812</v>
      </c>
      <c r="AV114" s="45">
        <v>1643542</v>
      </c>
      <c r="AW114" s="45">
        <v>1414935</v>
      </c>
      <c r="AX114" s="45">
        <v>1495322</v>
      </c>
      <c r="AY114" s="45">
        <v>1981467</v>
      </c>
      <c r="AZ114" s="45">
        <v>1730860</v>
      </c>
      <c r="BA114" s="45">
        <v>1975134</v>
      </c>
      <c r="BB114" s="45">
        <v>1968168</v>
      </c>
      <c r="BC114" s="45">
        <v>2479174</v>
      </c>
      <c r="BD114" s="45">
        <v>2164634</v>
      </c>
      <c r="BE114" s="45">
        <v>2278290</v>
      </c>
      <c r="BF114" s="45">
        <v>2763968</v>
      </c>
      <c r="BG114" s="45">
        <v>4134225</v>
      </c>
      <c r="BH114" s="45">
        <v>4044792</v>
      </c>
      <c r="BI114" s="46">
        <v>4407832</v>
      </c>
      <c r="BJ114" s="45">
        <v>5407206</v>
      </c>
      <c r="BK114" s="45">
        <v>5671195</v>
      </c>
      <c r="BL114" s="45">
        <v>5597502</v>
      </c>
      <c r="BM114" s="45">
        <v>6312688</v>
      </c>
      <c r="BN114" s="45">
        <v>7053633</v>
      </c>
      <c r="BO114" s="45">
        <v>7791456</v>
      </c>
      <c r="BP114" s="47">
        <v>7262030</v>
      </c>
      <c r="BQ114" s="45">
        <v>7293446</v>
      </c>
      <c r="BR114" s="47">
        <v>8417649</v>
      </c>
      <c r="BS114" s="45">
        <v>9475187</v>
      </c>
      <c r="BT114" s="45">
        <v>8170965</v>
      </c>
      <c r="BU114" s="45">
        <v>9104141</v>
      </c>
      <c r="BV114" s="48">
        <v>9125293</v>
      </c>
      <c r="BW114" s="46">
        <v>10124086</v>
      </c>
      <c r="BX114" s="46">
        <v>9807707</v>
      </c>
      <c r="BY114" s="46">
        <v>11592205</v>
      </c>
      <c r="BZ114" s="45">
        <v>11423333</v>
      </c>
      <c r="CA114" s="45">
        <v>20193512</v>
      </c>
      <c r="CB114" s="45">
        <v>19413403</v>
      </c>
      <c r="CC114" s="293">
        <v>21672068</v>
      </c>
      <c r="CD114" s="293">
        <v>24267447</v>
      </c>
      <c r="CE114" s="293">
        <v>36604732</v>
      </c>
      <c r="CF114" s="327">
        <v>27995367</v>
      </c>
      <c r="CG114" s="470"/>
      <c r="CH114" s="457"/>
      <c r="CI114" s="457"/>
      <c r="CJ114" s="457"/>
      <c r="CK114" s="457"/>
      <c r="CL114" s="457"/>
      <c r="CM114" s="457"/>
      <c r="CN114" s="457"/>
      <c r="CO114" s="457"/>
      <c r="CP114" s="457"/>
    </row>
    <row r="115" spans="1:94" ht="15" x14ac:dyDescent="0.2">
      <c r="A115" s="43" t="s">
        <v>220</v>
      </c>
      <c r="B115" s="44"/>
      <c r="C115" s="95" t="s">
        <v>50</v>
      </c>
      <c r="D115" s="95" t="s">
        <v>50</v>
      </c>
      <c r="E115" s="95" t="s">
        <v>50</v>
      </c>
      <c r="F115" s="95" t="s">
        <v>50</v>
      </c>
      <c r="G115" s="95" t="s">
        <v>50</v>
      </c>
      <c r="H115" s="95" t="s">
        <v>50</v>
      </c>
      <c r="I115" s="95" t="s">
        <v>50</v>
      </c>
      <c r="J115" s="95" t="s">
        <v>50</v>
      </c>
      <c r="K115" s="95" t="s">
        <v>50</v>
      </c>
      <c r="L115" s="95" t="s">
        <v>50</v>
      </c>
      <c r="M115" s="95" t="s">
        <v>50</v>
      </c>
      <c r="N115" s="95" t="s">
        <v>50</v>
      </c>
      <c r="O115" s="95" t="s">
        <v>50</v>
      </c>
      <c r="P115" s="95" t="s">
        <v>50</v>
      </c>
      <c r="Q115" s="95" t="s">
        <v>50</v>
      </c>
      <c r="R115" s="95" t="s">
        <v>50</v>
      </c>
      <c r="S115" s="95" t="s">
        <v>50</v>
      </c>
      <c r="T115" s="95" t="s">
        <v>50</v>
      </c>
      <c r="U115" s="95" t="s">
        <v>50</v>
      </c>
      <c r="V115" s="95" t="s">
        <v>50</v>
      </c>
      <c r="W115" s="95" t="s">
        <v>50</v>
      </c>
      <c r="X115" s="95" t="s">
        <v>50</v>
      </c>
      <c r="Y115" s="95" t="s">
        <v>50</v>
      </c>
      <c r="Z115" s="95" t="s">
        <v>50</v>
      </c>
      <c r="AA115" s="95" t="s">
        <v>50</v>
      </c>
      <c r="AB115" s="95" t="s">
        <v>50</v>
      </c>
      <c r="AC115" s="95" t="s">
        <v>50</v>
      </c>
      <c r="AD115" s="95" t="s">
        <v>50</v>
      </c>
      <c r="AE115" s="95" t="s">
        <v>50</v>
      </c>
      <c r="AF115" s="95" t="s">
        <v>50</v>
      </c>
      <c r="AG115" s="95" t="s">
        <v>50</v>
      </c>
      <c r="AH115" s="95" t="s">
        <v>50</v>
      </c>
      <c r="AI115" s="95" t="s">
        <v>50</v>
      </c>
      <c r="AJ115" s="95" t="s">
        <v>50</v>
      </c>
      <c r="AK115" s="95" t="s">
        <v>50</v>
      </c>
      <c r="AL115" s="95" t="s">
        <v>50</v>
      </c>
      <c r="AM115" s="95" t="s">
        <v>50</v>
      </c>
      <c r="AN115" s="95" t="s">
        <v>50</v>
      </c>
      <c r="AO115" s="95" t="s">
        <v>50</v>
      </c>
      <c r="AP115" s="95" t="s">
        <v>50</v>
      </c>
      <c r="AQ115" s="95" t="s">
        <v>50</v>
      </c>
      <c r="AR115" s="95" t="s">
        <v>50</v>
      </c>
      <c r="AS115" s="95" t="s">
        <v>50</v>
      </c>
      <c r="AT115" s="95" t="s">
        <v>50</v>
      </c>
      <c r="AU115" s="95" t="s">
        <v>50</v>
      </c>
      <c r="AV115" s="95" t="s">
        <v>50</v>
      </c>
      <c r="AW115" s="95" t="s">
        <v>50</v>
      </c>
      <c r="AX115" s="95" t="s">
        <v>50</v>
      </c>
      <c r="AY115" s="95" t="s">
        <v>50</v>
      </c>
      <c r="AZ115" s="95" t="s">
        <v>50</v>
      </c>
      <c r="BA115" s="95" t="s">
        <v>50</v>
      </c>
      <c r="BB115" s="95" t="s">
        <v>50</v>
      </c>
      <c r="BC115" s="95" t="s">
        <v>50</v>
      </c>
      <c r="BD115" s="95" t="s">
        <v>50</v>
      </c>
      <c r="BE115" s="95" t="s">
        <v>50</v>
      </c>
      <c r="BF115" s="95" t="s">
        <v>50</v>
      </c>
      <c r="BG115" s="95" t="s">
        <v>50</v>
      </c>
      <c r="BH115" s="95" t="s">
        <v>50</v>
      </c>
      <c r="BI115" s="95" t="s">
        <v>50</v>
      </c>
      <c r="BJ115" s="95" t="s">
        <v>50</v>
      </c>
      <c r="BK115" s="45">
        <v>3105235</v>
      </c>
      <c r="BL115" s="45">
        <v>2906648</v>
      </c>
      <c r="BM115" s="45">
        <v>3100272</v>
      </c>
      <c r="BN115" s="45">
        <v>3506966</v>
      </c>
      <c r="BO115" s="45">
        <v>3585630</v>
      </c>
      <c r="BP115" s="47">
        <v>3145854</v>
      </c>
      <c r="BQ115" s="45">
        <v>3296998</v>
      </c>
      <c r="BR115" s="47">
        <v>3890364</v>
      </c>
      <c r="BS115" s="45">
        <v>3973566</v>
      </c>
      <c r="BT115" s="45">
        <v>3306727</v>
      </c>
      <c r="BU115" s="45">
        <v>3956583</v>
      </c>
      <c r="BV115" s="48">
        <v>3804824</v>
      </c>
      <c r="BW115" s="46">
        <v>3992247</v>
      </c>
      <c r="BX115" s="46">
        <v>4070870</v>
      </c>
      <c r="BY115" s="46">
        <v>4764148</v>
      </c>
      <c r="BZ115" s="45">
        <v>4677220</v>
      </c>
      <c r="CA115" s="45">
        <v>9169803</v>
      </c>
      <c r="CB115" s="45">
        <v>9203774</v>
      </c>
      <c r="CC115" s="45">
        <v>10823861</v>
      </c>
      <c r="CD115" s="45">
        <v>11571976</v>
      </c>
      <c r="CE115" s="45">
        <v>17713520</v>
      </c>
      <c r="CF115" s="327">
        <v>13666839</v>
      </c>
      <c r="CH115" s="457"/>
      <c r="CI115" s="457"/>
      <c r="CJ115" s="457"/>
      <c r="CK115" s="457"/>
      <c r="CL115" s="457"/>
      <c r="CM115" s="457"/>
      <c r="CN115" s="457"/>
      <c r="CO115" s="457"/>
      <c r="CP115" s="457"/>
    </row>
    <row r="116" spans="1:94" x14ac:dyDescent="0.2">
      <c r="A116" s="43" t="s">
        <v>110</v>
      </c>
      <c r="B116" s="44"/>
      <c r="C116" s="95" t="s">
        <v>50</v>
      </c>
      <c r="D116" s="95" t="s">
        <v>50</v>
      </c>
      <c r="E116" s="95" t="s">
        <v>50</v>
      </c>
      <c r="F116" s="95" t="s">
        <v>50</v>
      </c>
      <c r="G116" s="95" t="s">
        <v>50</v>
      </c>
      <c r="H116" s="95" t="s">
        <v>50</v>
      </c>
      <c r="I116" s="95" t="s">
        <v>50</v>
      </c>
      <c r="J116" s="95" t="s">
        <v>50</v>
      </c>
      <c r="K116" s="95" t="s">
        <v>50</v>
      </c>
      <c r="L116" s="95" t="s">
        <v>50</v>
      </c>
      <c r="M116" s="95" t="s">
        <v>50</v>
      </c>
      <c r="N116" s="95" t="s">
        <v>50</v>
      </c>
      <c r="O116" s="95" t="s">
        <v>50</v>
      </c>
      <c r="P116" s="95" t="s">
        <v>50</v>
      </c>
      <c r="Q116" s="95" t="s">
        <v>50</v>
      </c>
      <c r="R116" s="95" t="s">
        <v>50</v>
      </c>
      <c r="S116" s="95" t="s">
        <v>50</v>
      </c>
      <c r="T116" s="95" t="s">
        <v>50</v>
      </c>
      <c r="U116" s="95" t="s">
        <v>50</v>
      </c>
      <c r="V116" s="95" t="s">
        <v>50</v>
      </c>
      <c r="W116" s="95" t="s">
        <v>50</v>
      </c>
      <c r="X116" s="95" t="s">
        <v>50</v>
      </c>
      <c r="Y116" s="95" t="s">
        <v>50</v>
      </c>
      <c r="Z116" s="95" t="s">
        <v>50</v>
      </c>
      <c r="AA116" s="95" t="s">
        <v>50</v>
      </c>
      <c r="AB116" s="95" t="s">
        <v>50</v>
      </c>
      <c r="AC116" s="95" t="s">
        <v>50</v>
      </c>
      <c r="AD116" s="95" t="s">
        <v>50</v>
      </c>
      <c r="AE116" s="95" t="s">
        <v>50</v>
      </c>
      <c r="AF116" s="95" t="s">
        <v>50</v>
      </c>
      <c r="AG116" s="95" t="s">
        <v>50</v>
      </c>
      <c r="AH116" s="95" t="s">
        <v>50</v>
      </c>
      <c r="AI116" s="95" t="s">
        <v>50</v>
      </c>
      <c r="AJ116" s="95" t="s">
        <v>50</v>
      </c>
      <c r="AK116" s="95" t="s">
        <v>50</v>
      </c>
      <c r="AL116" s="95" t="s">
        <v>50</v>
      </c>
      <c r="AM116" s="95" t="s">
        <v>50</v>
      </c>
      <c r="AN116" s="95" t="s">
        <v>50</v>
      </c>
      <c r="AO116" s="95" t="s">
        <v>50</v>
      </c>
      <c r="AP116" s="95" t="s">
        <v>50</v>
      </c>
      <c r="AQ116" s="95" t="s">
        <v>50</v>
      </c>
      <c r="AR116" s="95" t="s">
        <v>50</v>
      </c>
      <c r="AS116" s="95" t="s">
        <v>50</v>
      </c>
      <c r="AT116" s="95" t="s">
        <v>50</v>
      </c>
      <c r="AU116" s="95" t="s">
        <v>50</v>
      </c>
      <c r="AV116" s="95" t="s">
        <v>50</v>
      </c>
      <c r="AW116" s="95" t="s">
        <v>50</v>
      </c>
      <c r="AX116" s="95" t="s">
        <v>50</v>
      </c>
      <c r="AY116" s="45">
        <v>122227.71425812437</v>
      </c>
      <c r="AZ116" s="45">
        <v>104561.448672036</v>
      </c>
      <c r="BA116" s="45">
        <v>119273.73946370557</v>
      </c>
      <c r="BB116" s="45">
        <v>127144.5993297752</v>
      </c>
      <c r="BC116" s="45">
        <v>153637.51264599239</v>
      </c>
      <c r="BD116" s="45">
        <v>132591.05050347646</v>
      </c>
      <c r="BE116" s="45">
        <v>134034.95254197123</v>
      </c>
      <c r="BF116" s="45">
        <v>167675.66693025085</v>
      </c>
      <c r="BG116" s="45">
        <v>174512.21389361875</v>
      </c>
      <c r="BH116" s="45">
        <v>173945.47665528033</v>
      </c>
      <c r="BI116" s="47">
        <v>194706.8902501518</v>
      </c>
      <c r="BJ116" s="45">
        <v>247769.72114975136</v>
      </c>
      <c r="BK116" s="45">
        <v>202055.37044750983</v>
      </c>
      <c r="BL116" s="45">
        <v>176929.21726146975</v>
      </c>
      <c r="BM116" s="45">
        <v>178010.73876488983</v>
      </c>
      <c r="BN116" s="45">
        <v>189226.36841802008</v>
      </c>
      <c r="BO116" s="45">
        <v>187418.13328682038</v>
      </c>
      <c r="BP116" s="47">
        <v>166488.63802178012</v>
      </c>
      <c r="BQ116" s="45">
        <v>170674.97144208962</v>
      </c>
      <c r="BR116" s="47">
        <v>180790.07457259012</v>
      </c>
      <c r="BS116" s="45">
        <v>200818.29619358008</v>
      </c>
      <c r="BT116" s="45">
        <v>162522.22771270981</v>
      </c>
      <c r="BU116" s="45">
        <v>186152.91279198966</v>
      </c>
      <c r="BV116" s="48">
        <v>188713.88397245971</v>
      </c>
      <c r="BW116" s="46">
        <v>193643.87153481977</v>
      </c>
      <c r="BX116" s="46">
        <v>172540.53464277968</v>
      </c>
      <c r="BY116" s="46">
        <v>191933.91578035953</v>
      </c>
      <c r="BZ116" s="45">
        <v>202888.69627287073</v>
      </c>
      <c r="CA116" s="45">
        <v>399933.3190082818</v>
      </c>
      <c r="CB116" s="45">
        <v>358623.21496106993</v>
      </c>
      <c r="CC116" s="293">
        <v>363595.90239685943</v>
      </c>
      <c r="CD116" s="293">
        <v>385743.42730020941</v>
      </c>
      <c r="CE116" s="293">
        <v>530606.26882220979</v>
      </c>
      <c r="CF116" s="121">
        <v>424341.47882341896</v>
      </c>
      <c r="CH116" s="457"/>
      <c r="CI116" s="457"/>
      <c r="CJ116" s="457"/>
      <c r="CK116" s="457"/>
      <c r="CL116" s="457"/>
      <c r="CM116" s="457"/>
      <c r="CN116" s="457"/>
      <c r="CO116" s="457"/>
      <c r="CP116" s="457"/>
    </row>
    <row r="117" spans="1:94" ht="15" x14ac:dyDescent="0.2">
      <c r="A117" s="43" t="s">
        <v>221</v>
      </c>
      <c r="B117" s="44"/>
      <c r="C117" s="95" t="s">
        <v>50</v>
      </c>
      <c r="D117" s="95" t="s">
        <v>50</v>
      </c>
      <c r="E117" s="95" t="s">
        <v>50</v>
      </c>
      <c r="F117" s="95" t="s">
        <v>50</v>
      </c>
      <c r="G117" s="95" t="s">
        <v>50</v>
      </c>
      <c r="H117" s="95" t="s">
        <v>50</v>
      </c>
      <c r="I117" s="95" t="s">
        <v>50</v>
      </c>
      <c r="J117" s="95" t="s">
        <v>50</v>
      </c>
      <c r="K117" s="95" t="s">
        <v>50</v>
      </c>
      <c r="L117" s="95" t="s">
        <v>50</v>
      </c>
      <c r="M117" s="95" t="s">
        <v>50</v>
      </c>
      <c r="N117" s="95" t="s">
        <v>50</v>
      </c>
      <c r="O117" s="95" t="s">
        <v>50</v>
      </c>
      <c r="P117" s="95" t="s">
        <v>50</v>
      </c>
      <c r="Q117" s="95" t="s">
        <v>50</v>
      </c>
      <c r="R117" s="95" t="s">
        <v>50</v>
      </c>
      <c r="S117" s="95" t="s">
        <v>50</v>
      </c>
      <c r="T117" s="95" t="s">
        <v>50</v>
      </c>
      <c r="U117" s="95" t="s">
        <v>50</v>
      </c>
      <c r="V117" s="95" t="s">
        <v>50</v>
      </c>
      <c r="W117" s="95" t="s">
        <v>50</v>
      </c>
      <c r="X117" s="95" t="s">
        <v>50</v>
      </c>
      <c r="Y117" s="95" t="s">
        <v>50</v>
      </c>
      <c r="Z117" s="95" t="s">
        <v>50</v>
      </c>
      <c r="AA117" s="95" t="s">
        <v>50</v>
      </c>
      <c r="AB117" s="95" t="s">
        <v>50</v>
      </c>
      <c r="AC117" s="95" t="s">
        <v>50</v>
      </c>
      <c r="AD117" s="95" t="s">
        <v>50</v>
      </c>
      <c r="AE117" s="95" t="s">
        <v>50</v>
      </c>
      <c r="AF117" s="95" t="s">
        <v>50</v>
      </c>
      <c r="AG117" s="95" t="s">
        <v>50</v>
      </c>
      <c r="AH117" s="95" t="s">
        <v>50</v>
      </c>
      <c r="AI117" s="95" t="s">
        <v>50</v>
      </c>
      <c r="AJ117" s="95" t="s">
        <v>50</v>
      </c>
      <c r="AK117" s="95" t="s">
        <v>50</v>
      </c>
      <c r="AL117" s="95" t="s">
        <v>50</v>
      </c>
      <c r="AM117" s="95" t="s">
        <v>50</v>
      </c>
      <c r="AN117" s="95" t="s">
        <v>50</v>
      </c>
      <c r="AO117" s="95" t="s">
        <v>50</v>
      </c>
      <c r="AP117" s="95" t="s">
        <v>50</v>
      </c>
      <c r="AQ117" s="95" t="s">
        <v>50</v>
      </c>
      <c r="AR117" s="95" t="s">
        <v>50</v>
      </c>
      <c r="AS117" s="95" t="s">
        <v>50</v>
      </c>
      <c r="AT117" s="95" t="s">
        <v>50</v>
      </c>
      <c r="AU117" s="95" t="s">
        <v>50</v>
      </c>
      <c r="AV117" s="95" t="s">
        <v>50</v>
      </c>
      <c r="AW117" s="95" t="s">
        <v>50</v>
      </c>
      <c r="AX117" s="95" t="s">
        <v>50</v>
      </c>
      <c r="AY117" s="45">
        <v>79470.23734591846</v>
      </c>
      <c r="AZ117" s="45">
        <v>66058.030650841392</v>
      </c>
      <c r="BA117" s="45">
        <v>80983.375613066441</v>
      </c>
      <c r="BB117" s="45">
        <v>84828.983610159688</v>
      </c>
      <c r="BC117" s="45">
        <v>98677.149796212994</v>
      </c>
      <c r="BD117" s="45">
        <v>83638.261641188088</v>
      </c>
      <c r="BE117" s="45">
        <v>82211.383626819836</v>
      </c>
      <c r="BF117" s="45">
        <v>100737.93170172693</v>
      </c>
      <c r="BG117" s="45">
        <v>145169.24919583803</v>
      </c>
      <c r="BH117" s="45">
        <v>144202.03018855338</v>
      </c>
      <c r="BI117" s="47">
        <v>167352.66261884771</v>
      </c>
      <c r="BJ117" s="45">
        <v>221817.38741790081</v>
      </c>
      <c r="BK117" s="45">
        <v>168271.05635940001</v>
      </c>
      <c r="BL117" s="45">
        <v>149790.11181480996</v>
      </c>
      <c r="BM117" s="45">
        <v>143933.10623557013</v>
      </c>
      <c r="BN117" s="45">
        <v>152990.0819881701</v>
      </c>
      <c r="BO117" s="45">
        <v>147165.61446516996</v>
      </c>
      <c r="BP117" s="47">
        <v>128275.43633029002</v>
      </c>
      <c r="BQ117" s="45">
        <v>133648.94465943993</v>
      </c>
      <c r="BR117" s="47">
        <v>139907.56670028003</v>
      </c>
      <c r="BS117" s="45">
        <v>143485.76694348999</v>
      </c>
      <c r="BT117" s="45">
        <v>119943.5221076</v>
      </c>
      <c r="BU117" s="45">
        <v>134205.04036695982</v>
      </c>
      <c r="BV117" s="48">
        <v>134744.88481388995</v>
      </c>
      <c r="BW117" s="46">
        <v>142281.99203869002</v>
      </c>
      <c r="BX117" s="46">
        <v>125752.08803654998</v>
      </c>
      <c r="BY117" s="46">
        <v>140803.7417298099</v>
      </c>
      <c r="BZ117" s="45">
        <v>148958.18289446997</v>
      </c>
      <c r="CA117" s="45">
        <v>282354.21338509</v>
      </c>
      <c r="CB117" s="45">
        <v>277834.50745608023</v>
      </c>
      <c r="CC117" s="293">
        <v>288207.45364977984</v>
      </c>
      <c r="CD117" s="293">
        <v>300385.5275008899</v>
      </c>
      <c r="CE117" s="293">
        <v>422337.52375935001</v>
      </c>
      <c r="CF117" s="121">
        <v>337468.08423314005</v>
      </c>
      <c r="CH117" s="457"/>
      <c r="CI117" s="457"/>
      <c r="CJ117" s="457"/>
      <c r="CK117" s="457"/>
      <c r="CL117" s="457"/>
      <c r="CM117" s="457"/>
      <c r="CN117" s="457"/>
      <c r="CO117" s="457"/>
      <c r="CP117" s="457"/>
    </row>
    <row r="118" spans="1:94" x14ac:dyDescent="0.2">
      <c r="A118" s="43" t="s">
        <v>155</v>
      </c>
      <c r="B118" s="44"/>
      <c r="C118" s="95" t="s">
        <v>50</v>
      </c>
      <c r="D118" s="95" t="s">
        <v>50</v>
      </c>
      <c r="E118" s="95" t="s">
        <v>50</v>
      </c>
      <c r="F118" s="95" t="s">
        <v>50</v>
      </c>
      <c r="G118" s="95" t="s">
        <v>50</v>
      </c>
      <c r="H118" s="95" t="s">
        <v>50</v>
      </c>
      <c r="I118" s="95" t="s">
        <v>50</v>
      </c>
      <c r="J118" s="95" t="s">
        <v>50</v>
      </c>
      <c r="K118" s="95" t="s">
        <v>50</v>
      </c>
      <c r="L118" s="95" t="s">
        <v>50</v>
      </c>
      <c r="M118" s="95" t="s">
        <v>50</v>
      </c>
      <c r="N118" s="95" t="s">
        <v>50</v>
      </c>
      <c r="O118" s="95" t="s">
        <v>50</v>
      </c>
      <c r="P118" s="95" t="s">
        <v>50</v>
      </c>
      <c r="Q118" s="95" t="s">
        <v>50</v>
      </c>
      <c r="R118" s="95" t="s">
        <v>50</v>
      </c>
      <c r="S118" s="95" t="s">
        <v>50</v>
      </c>
      <c r="T118" s="95" t="s">
        <v>50</v>
      </c>
      <c r="U118" s="95" t="s">
        <v>50</v>
      </c>
      <c r="V118" s="95" t="s">
        <v>50</v>
      </c>
      <c r="W118" s="95" t="s">
        <v>50</v>
      </c>
      <c r="X118" s="95" t="s">
        <v>50</v>
      </c>
      <c r="Y118" s="95" t="s">
        <v>50</v>
      </c>
      <c r="Z118" s="95" t="s">
        <v>50</v>
      </c>
      <c r="AA118" s="95" t="s">
        <v>50</v>
      </c>
      <c r="AB118" s="95" t="s">
        <v>50</v>
      </c>
      <c r="AC118" s="95" t="s">
        <v>50</v>
      </c>
      <c r="AD118" s="95" t="s">
        <v>50</v>
      </c>
      <c r="AE118" s="95" t="s">
        <v>50</v>
      </c>
      <c r="AF118" s="95" t="s">
        <v>50</v>
      </c>
      <c r="AG118" s="95" t="s">
        <v>50</v>
      </c>
      <c r="AH118" s="95" t="s">
        <v>50</v>
      </c>
      <c r="AI118" s="95" t="s">
        <v>50</v>
      </c>
      <c r="AJ118" s="95" t="s">
        <v>50</v>
      </c>
      <c r="AK118" s="95" t="s">
        <v>50</v>
      </c>
      <c r="AL118" s="95" t="s">
        <v>50</v>
      </c>
      <c r="AM118" s="95" t="s">
        <v>50</v>
      </c>
      <c r="AN118" s="95" t="s">
        <v>50</v>
      </c>
      <c r="AO118" s="95" t="s">
        <v>50</v>
      </c>
      <c r="AP118" s="95" t="s">
        <v>50</v>
      </c>
      <c r="AQ118" s="95" t="s">
        <v>50</v>
      </c>
      <c r="AR118" s="95" t="s">
        <v>50</v>
      </c>
      <c r="AS118" s="95" t="s">
        <v>50</v>
      </c>
      <c r="AT118" s="95" t="s">
        <v>50</v>
      </c>
      <c r="AU118" s="95" t="s">
        <v>50</v>
      </c>
      <c r="AV118" s="95" t="s">
        <v>50</v>
      </c>
      <c r="AW118" s="95" t="s">
        <v>50</v>
      </c>
      <c r="AX118" s="95" t="str">
        <f>AX115</f>
        <v>-</v>
      </c>
      <c r="AY118" s="95" t="s">
        <v>50</v>
      </c>
      <c r="AZ118" s="95" t="s">
        <v>50</v>
      </c>
      <c r="BA118" s="95" t="s">
        <v>50</v>
      </c>
      <c r="BB118" s="95" t="s">
        <v>50</v>
      </c>
      <c r="BC118" s="95" t="s">
        <v>50</v>
      </c>
      <c r="BD118" s="95" t="s">
        <v>50</v>
      </c>
      <c r="BE118" s="95" t="s">
        <v>50</v>
      </c>
      <c r="BF118" s="95" t="s">
        <v>50</v>
      </c>
      <c r="BG118" s="95" t="s">
        <v>50</v>
      </c>
      <c r="BH118" s="95" t="s">
        <v>50</v>
      </c>
      <c r="BI118" s="95" t="s">
        <v>50</v>
      </c>
      <c r="BJ118" s="95" t="s">
        <v>50</v>
      </c>
      <c r="BK118" s="95" t="s">
        <v>50</v>
      </c>
      <c r="BL118" s="95" t="s">
        <v>50</v>
      </c>
      <c r="BM118" s="95" t="s">
        <v>50</v>
      </c>
      <c r="BN118" s="95" t="s">
        <v>50</v>
      </c>
      <c r="BO118" s="95" t="s">
        <v>50</v>
      </c>
      <c r="BP118" s="95" t="s">
        <v>50</v>
      </c>
      <c r="BQ118" s="95" t="s">
        <v>50</v>
      </c>
      <c r="BR118" s="95" t="s">
        <v>50</v>
      </c>
      <c r="BS118" s="95" t="s">
        <v>50</v>
      </c>
      <c r="BT118" s="95" t="s">
        <v>50</v>
      </c>
      <c r="BU118" s="93" t="s">
        <v>50</v>
      </c>
      <c r="BV118" s="94" t="s">
        <v>50</v>
      </c>
      <c r="BW118" s="95" t="s">
        <v>50</v>
      </c>
      <c r="BX118" s="95" t="s">
        <v>50</v>
      </c>
      <c r="BY118" s="95" t="s">
        <v>50</v>
      </c>
      <c r="BZ118" s="95" t="s">
        <v>50</v>
      </c>
      <c r="CA118" s="45">
        <v>27853.050443040011</v>
      </c>
      <c r="CB118" s="45">
        <v>32992.523869479999</v>
      </c>
      <c r="CC118" s="293">
        <v>35283.792729000001</v>
      </c>
      <c r="CD118" s="293">
        <v>47609.704072</v>
      </c>
      <c r="CE118" s="293">
        <v>98224.870314999993</v>
      </c>
      <c r="CF118" s="121">
        <v>53476.347282419993</v>
      </c>
      <c r="CH118" s="457"/>
      <c r="CI118" s="457"/>
      <c r="CJ118" s="457"/>
      <c r="CK118" s="457"/>
      <c r="CL118" s="457"/>
      <c r="CM118" s="457"/>
      <c r="CN118" s="457"/>
      <c r="CO118" s="457"/>
      <c r="CP118" s="457"/>
    </row>
    <row r="119" spans="1:94" x14ac:dyDescent="0.2">
      <c r="A119" s="43" t="s">
        <v>186</v>
      </c>
      <c r="B119" s="44"/>
      <c r="C119" s="95" t="s">
        <v>50</v>
      </c>
      <c r="D119" s="95" t="s">
        <v>50</v>
      </c>
      <c r="E119" s="95" t="s">
        <v>50</v>
      </c>
      <c r="F119" s="95" t="s">
        <v>50</v>
      </c>
      <c r="G119" s="95" t="s">
        <v>50</v>
      </c>
      <c r="H119" s="95" t="s">
        <v>50</v>
      </c>
      <c r="I119" s="95" t="s">
        <v>50</v>
      </c>
      <c r="J119" s="95" t="s">
        <v>50</v>
      </c>
      <c r="K119" s="95" t="s">
        <v>50</v>
      </c>
      <c r="L119" s="95" t="s">
        <v>50</v>
      </c>
      <c r="M119" s="95" t="s">
        <v>50</v>
      </c>
      <c r="N119" s="95" t="s">
        <v>50</v>
      </c>
      <c r="O119" s="95" t="s">
        <v>50</v>
      </c>
      <c r="P119" s="95" t="s">
        <v>50</v>
      </c>
      <c r="Q119" s="95" t="s">
        <v>50</v>
      </c>
      <c r="R119" s="95" t="s">
        <v>50</v>
      </c>
      <c r="S119" s="95" t="s">
        <v>50</v>
      </c>
      <c r="T119" s="95" t="s">
        <v>50</v>
      </c>
      <c r="U119" s="95" t="s">
        <v>50</v>
      </c>
      <c r="V119" s="95" t="s">
        <v>50</v>
      </c>
      <c r="W119" s="95" t="s">
        <v>50</v>
      </c>
      <c r="X119" s="95" t="s">
        <v>50</v>
      </c>
      <c r="Y119" s="95" t="s">
        <v>50</v>
      </c>
      <c r="Z119" s="95" t="s">
        <v>50</v>
      </c>
      <c r="AA119" s="95" t="s">
        <v>50</v>
      </c>
      <c r="AB119" s="95" t="s">
        <v>50</v>
      </c>
      <c r="AC119" s="95" t="s">
        <v>50</v>
      </c>
      <c r="AD119" s="95" t="s">
        <v>50</v>
      </c>
      <c r="AE119" s="95" t="s">
        <v>50</v>
      </c>
      <c r="AF119" s="95" t="s">
        <v>50</v>
      </c>
      <c r="AG119" s="95" t="s">
        <v>50</v>
      </c>
      <c r="AH119" s="95" t="s">
        <v>50</v>
      </c>
      <c r="AI119" s="95" t="s">
        <v>50</v>
      </c>
      <c r="AJ119" s="95" t="s">
        <v>50</v>
      </c>
      <c r="AK119" s="95" t="s">
        <v>50</v>
      </c>
      <c r="AL119" s="95" t="s">
        <v>50</v>
      </c>
      <c r="AM119" s="95" t="s">
        <v>50</v>
      </c>
      <c r="AN119" s="95" t="s">
        <v>50</v>
      </c>
      <c r="AO119" s="95" t="s">
        <v>50</v>
      </c>
      <c r="AP119" s="95" t="s">
        <v>50</v>
      </c>
      <c r="AQ119" s="95" t="s">
        <v>50</v>
      </c>
      <c r="AR119" s="95" t="s">
        <v>50</v>
      </c>
      <c r="AS119" s="95" t="s">
        <v>50</v>
      </c>
      <c r="AT119" s="95" t="s">
        <v>50</v>
      </c>
      <c r="AU119" s="95" t="s">
        <v>50</v>
      </c>
      <c r="AV119" s="95" t="s">
        <v>50</v>
      </c>
      <c r="AW119" s="95" t="s">
        <v>50</v>
      </c>
      <c r="AX119" s="95" t="s">
        <v>50</v>
      </c>
      <c r="AY119" s="95" t="s">
        <v>50</v>
      </c>
      <c r="AZ119" s="95" t="s">
        <v>50</v>
      </c>
      <c r="BA119" s="95" t="s">
        <v>50</v>
      </c>
      <c r="BB119" s="95" t="s">
        <v>50</v>
      </c>
      <c r="BC119" s="95" t="s">
        <v>50</v>
      </c>
      <c r="BD119" s="95" t="s">
        <v>50</v>
      </c>
      <c r="BE119" s="95" t="s">
        <v>50</v>
      </c>
      <c r="BF119" s="95" t="s">
        <v>50</v>
      </c>
      <c r="BG119" s="95" t="s">
        <v>50</v>
      </c>
      <c r="BH119" s="95" t="s">
        <v>50</v>
      </c>
      <c r="BI119" s="95" t="s">
        <v>50</v>
      </c>
      <c r="BJ119" s="95" t="s">
        <v>50</v>
      </c>
      <c r="BK119" s="293">
        <f t="shared" ref="BK119:BN119" si="115">BK115/BK124</f>
        <v>51753.916666666664</v>
      </c>
      <c r="BL119" s="293">
        <f t="shared" si="115"/>
        <v>47262.569105691058</v>
      </c>
      <c r="BM119" s="293">
        <f t="shared" si="115"/>
        <v>46973.818181818184</v>
      </c>
      <c r="BN119" s="293">
        <f t="shared" si="115"/>
        <v>55227.811023622045</v>
      </c>
      <c r="BO119" s="293">
        <f t="shared" ref="BO119:CC119" si="116">BO115/BO124</f>
        <v>56466.614173228343</v>
      </c>
      <c r="BP119" s="293">
        <f t="shared" si="116"/>
        <v>54238.862068965514</v>
      </c>
      <c r="BQ119" s="293">
        <f t="shared" si="116"/>
        <v>50723.046153846153</v>
      </c>
      <c r="BR119" s="293">
        <f t="shared" si="116"/>
        <v>62245.824000000001</v>
      </c>
      <c r="BS119" s="293">
        <f t="shared" si="116"/>
        <v>64089.774193548386</v>
      </c>
      <c r="BT119" s="293">
        <f t="shared" si="116"/>
        <v>56046.220338983054</v>
      </c>
      <c r="BU119" s="293">
        <f t="shared" si="116"/>
        <v>60870.507692307692</v>
      </c>
      <c r="BV119" s="387">
        <f t="shared" si="116"/>
        <v>61867.056910569103</v>
      </c>
      <c r="BW119" s="293">
        <f t="shared" si="116"/>
        <v>63369</v>
      </c>
      <c r="BX119" s="293">
        <f t="shared" si="116"/>
        <v>70797.739130434784</v>
      </c>
      <c r="BY119" s="293">
        <f t="shared" si="116"/>
        <v>72184.060606060608</v>
      </c>
      <c r="BZ119" s="293">
        <f t="shared" si="116"/>
        <v>76052.357723577239</v>
      </c>
      <c r="CA119" s="293">
        <f t="shared" si="116"/>
        <v>145552.42857142858</v>
      </c>
      <c r="CB119" s="293">
        <f t="shared" si="116"/>
        <v>157329.47008547009</v>
      </c>
      <c r="CC119" s="293">
        <f t="shared" si="116"/>
        <v>163997.89393939395</v>
      </c>
      <c r="CD119" s="45">
        <f>CD115/CD124</f>
        <v>185151.61600000001</v>
      </c>
      <c r="CE119" s="45">
        <f>CE115/CE124</f>
        <v>288024.71544715448</v>
      </c>
      <c r="CF119" s="121">
        <f>CF115/CF124</f>
        <v>229694.77310924369</v>
      </c>
      <c r="CG119" s="506"/>
      <c r="CH119" s="457"/>
      <c r="CI119" s="457"/>
      <c r="CJ119" s="457"/>
      <c r="CK119" s="457"/>
      <c r="CL119" s="457"/>
      <c r="CM119" s="457"/>
      <c r="CN119" s="457"/>
      <c r="CO119" s="457"/>
      <c r="CP119" s="457"/>
    </row>
    <row r="120" spans="1:94" x14ac:dyDescent="0.2">
      <c r="A120" s="104" t="s">
        <v>185</v>
      </c>
      <c r="B120" s="105"/>
      <c r="C120" s="383" t="s">
        <v>50</v>
      </c>
      <c r="D120" s="383" t="s">
        <v>50</v>
      </c>
      <c r="E120" s="383" t="s">
        <v>50</v>
      </c>
      <c r="F120" s="383" t="s">
        <v>50</v>
      </c>
      <c r="G120" s="383" t="s">
        <v>50</v>
      </c>
      <c r="H120" s="383" t="s">
        <v>50</v>
      </c>
      <c r="I120" s="383" t="s">
        <v>50</v>
      </c>
      <c r="J120" s="383" t="s">
        <v>50</v>
      </c>
      <c r="K120" s="383" t="s">
        <v>50</v>
      </c>
      <c r="L120" s="383" t="s">
        <v>50</v>
      </c>
      <c r="M120" s="383" t="s">
        <v>50</v>
      </c>
      <c r="N120" s="383" t="s">
        <v>50</v>
      </c>
      <c r="O120" s="383" t="s">
        <v>50</v>
      </c>
      <c r="P120" s="383" t="s">
        <v>50</v>
      </c>
      <c r="Q120" s="383" t="s">
        <v>50</v>
      </c>
      <c r="R120" s="383" t="s">
        <v>50</v>
      </c>
      <c r="S120" s="383" t="s">
        <v>50</v>
      </c>
      <c r="T120" s="383" t="s">
        <v>50</v>
      </c>
      <c r="U120" s="383" t="s">
        <v>50</v>
      </c>
      <c r="V120" s="383" t="s">
        <v>50</v>
      </c>
      <c r="W120" s="383" t="s">
        <v>50</v>
      </c>
      <c r="X120" s="383" t="s">
        <v>50</v>
      </c>
      <c r="Y120" s="383" t="s">
        <v>50</v>
      </c>
      <c r="Z120" s="383" t="s">
        <v>50</v>
      </c>
      <c r="AA120" s="383" t="s">
        <v>50</v>
      </c>
      <c r="AB120" s="383" t="s">
        <v>50</v>
      </c>
      <c r="AC120" s="383" t="s">
        <v>50</v>
      </c>
      <c r="AD120" s="383" t="s">
        <v>50</v>
      </c>
      <c r="AE120" s="383" t="s">
        <v>50</v>
      </c>
      <c r="AF120" s="383" t="s">
        <v>50</v>
      </c>
      <c r="AG120" s="383" t="s">
        <v>50</v>
      </c>
      <c r="AH120" s="383" t="s">
        <v>50</v>
      </c>
      <c r="AI120" s="383" t="s">
        <v>50</v>
      </c>
      <c r="AJ120" s="383" t="s">
        <v>50</v>
      </c>
      <c r="AK120" s="383" t="s">
        <v>50</v>
      </c>
      <c r="AL120" s="383" t="s">
        <v>50</v>
      </c>
      <c r="AM120" s="383" t="s">
        <v>50</v>
      </c>
      <c r="AN120" s="383" t="s">
        <v>50</v>
      </c>
      <c r="AO120" s="383" t="s">
        <v>50</v>
      </c>
      <c r="AP120" s="383" t="s">
        <v>50</v>
      </c>
      <c r="AQ120" s="383" t="s">
        <v>50</v>
      </c>
      <c r="AR120" s="383" t="s">
        <v>50</v>
      </c>
      <c r="AS120" s="383" t="s">
        <v>50</v>
      </c>
      <c r="AT120" s="383" t="s">
        <v>50</v>
      </c>
      <c r="AU120" s="383" t="s">
        <v>50</v>
      </c>
      <c r="AV120" s="383" t="s">
        <v>50</v>
      </c>
      <c r="AW120" s="383" t="s">
        <v>50</v>
      </c>
      <c r="AX120" s="383" t="s">
        <v>50</v>
      </c>
      <c r="AY120" s="304">
        <f t="shared" ref="AY120:BN120" si="117">AY117/AY124</f>
        <v>1292.1989812344466</v>
      </c>
      <c r="AZ120" s="304">
        <f t="shared" si="117"/>
        <v>1119.6276381498542</v>
      </c>
      <c r="BA120" s="304">
        <f t="shared" si="117"/>
        <v>1227.0208426222189</v>
      </c>
      <c r="BB120" s="304">
        <f t="shared" si="117"/>
        <v>1379.3330668318649</v>
      </c>
      <c r="BC120" s="304">
        <f t="shared" si="117"/>
        <v>1591.5669321969838</v>
      </c>
      <c r="BD120" s="304">
        <f t="shared" si="117"/>
        <v>1454.5784633250103</v>
      </c>
      <c r="BE120" s="304">
        <f t="shared" si="117"/>
        <v>1245.6270246487854</v>
      </c>
      <c r="BF120" s="304">
        <f t="shared" si="117"/>
        <v>1638.0151496215763</v>
      </c>
      <c r="BG120" s="304">
        <f t="shared" si="117"/>
        <v>2360.4755966802932</v>
      </c>
      <c r="BH120" s="304">
        <f t="shared" si="117"/>
        <v>2464.9919690351007</v>
      </c>
      <c r="BI120" s="304">
        <f t="shared" si="117"/>
        <v>2535.6464033158745</v>
      </c>
      <c r="BJ120" s="304">
        <f t="shared" si="117"/>
        <v>3549.0781986864131</v>
      </c>
      <c r="BK120" s="304">
        <f t="shared" si="117"/>
        <v>2804.51760599</v>
      </c>
      <c r="BL120" s="304">
        <f t="shared" si="117"/>
        <v>2435.6115742245524</v>
      </c>
      <c r="BM120" s="304">
        <f t="shared" si="117"/>
        <v>2180.8046399328809</v>
      </c>
      <c r="BN120" s="304">
        <f t="shared" si="117"/>
        <v>2409.2926297349622</v>
      </c>
      <c r="BO120" s="304">
        <f t="shared" ref="BO120:CC120" si="118">BO117/BO124</f>
        <v>2317.5687317349598</v>
      </c>
      <c r="BP120" s="304">
        <f t="shared" si="118"/>
        <v>2211.6454539705173</v>
      </c>
      <c r="BQ120" s="304">
        <f t="shared" si="118"/>
        <v>2056.1376101452297</v>
      </c>
      <c r="BR120" s="304">
        <f t="shared" si="118"/>
        <v>2238.5210672044805</v>
      </c>
      <c r="BS120" s="304">
        <f t="shared" si="118"/>
        <v>2314.2865636046772</v>
      </c>
      <c r="BT120" s="304">
        <f t="shared" si="118"/>
        <v>2032.9410526711865</v>
      </c>
      <c r="BU120" s="304">
        <f t="shared" si="118"/>
        <v>2064.6929287224589</v>
      </c>
      <c r="BV120" s="388">
        <f t="shared" si="118"/>
        <v>2190.9737368112187</v>
      </c>
      <c r="BW120" s="304">
        <f t="shared" si="118"/>
        <v>2258.4443180744447</v>
      </c>
      <c r="BX120" s="304">
        <f t="shared" si="118"/>
        <v>2186.9928354182603</v>
      </c>
      <c r="BY120" s="304">
        <f t="shared" si="118"/>
        <v>2133.3900262092411</v>
      </c>
      <c r="BZ120" s="304">
        <f t="shared" si="118"/>
        <v>2422.0842747068286</v>
      </c>
      <c r="CA120" s="304">
        <f t="shared" si="118"/>
        <v>4481.8129108744442</v>
      </c>
      <c r="CB120" s="106">
        <f t="shared" si="118"/>
        <v>4749.3078197620553</v>
      </c>
      <c r="CC120" s="304">
        <f t="shared" si="118"/>
        <v>4366.7796007542402</v>
      </c>
      <c r="CD120" s="304">
        <f>CD117/CD124</f>
        <v>4806.1684400142385</v>
      </c>
      <c r="CE120" s="304">
        <f>CE117/CE124</f>
        <v>6867.2768090951222</v>
      </c>
      <c r="CF120" s="380">
        <f>CF117/CF124</f>
        <v>5671.7325081200006</v>
      </c>
      <c r="CH120" s="457"/>
      <c r="CI120" s="457"/>
      <c r="CJ120" s="457"/>
      <c r="CK120" s="457"/>
      <c r="CL120" s="457"/>
      <c r="CM120" s="457"/>
      <c r="CN120" s="457"/>
      <c r="CO120" s="457"/>
      <c r="CP120" s="457"/>
    </row>
    <row r="121" spans="1:94" x14ac:dyDescent="0.2">
      <c r="A121" s="43" t="s">
        <v>187</v>
      </c>
      <c r="B121" s="44"/>
      <c r="C121" s="95" t="s">
        <v>50</v>
      </c>
      <c r="D121" s="95" t="s">
        <v>50</v>
      </c>
      <c r="E121" s="95" t="s">
        <v>50</v>
      </c>
      <c r="F121" s="95" t="s">
        <v>50</v>
      </c>
      <c r="G121" s="95" t="s">
        <v>50</v>
      </c>
      <c r="H121" s="95" t="s">
        <v>50</v>
      </c>
      <c r="I121" s="95" t="s">
        <v>50</v>
      </c>
      <c r="J121" s="95" t="s">
        <v>50</v>
      </c>
      <c r="K121" s="95" t="s">
        <v>50</v>
      </c>
      <c r="L121" s="95" t="s">
        <v>50</v>
      </c>
      <c r="M121" s="95" t="s">
        <v>50</v>
      </c>
      <c r="N121" s="95" t="s">
        <v>50</v>
      </c>
      <c r="O121" s="95" t="s">
        <v>50</v>
      </c>
      <c r="P121" s="95" t="s">
        <v>50</v>
      </c>
      <c r="Q121" s="95" t="s">
        <v>50</v>
      </c>
      <c r="R121" s="95" t="s">
        <v>50</v>
      </c>
      <c r="S121" s="95" t="s">
        <v>50</v>
      </c>
      <c r="T121" s="95" t="s">
        <v>50</v>
      </c>
      <c r="U121" s="95" t="s">
        <v>50</v>
      </c>
      <c r="V121" s="95" t="s">
        <v>50</v>
      </c>
      <c r="W121" s="95" t="s">
        <v>50</v>
      </c>
      <c r="X121" s="95" t="s">
        <v>50</v>
      </c>
      <c r="Y121" s="95" t="s">
        <v>50</v>
      </c>
      <c r="Z121" s="95" t="s">
        <v>50</v>
      </c>
      <c r="AA121" s="95" t="s">
        <v>50</v>
      </c>
      <c r="AB121" s="95" t="s">
        <v>50</v>
      </c>
      <c r="AC121" s="95" t="s">
        <v>50</v>
      </c>
      <c r="AD121" s="95" t="s">
        <v>50</v>
      </c>
      <c r="AE121" s="95" t="s">
        <v>50</v>
      </c>
      <c r="AF121" s="95" t="s">
        <v>50</v>
      </c>
      <c r="AG121" s="95" t="s">
        <v>50</v>
      </c>
      <c r="AH121" s="95" t="s">
        <v>50</v>
      </c>
      <c r="AI121" s="95" t="s">
        <v>50</v>
      </c>
      <c r="AJ121" s="95" t="s">
        <v>50</v>
      </c>
      <c r="AK121" s="95" t="s">
        <v>50</v>
      </c>
      <c r="AL121" s="95" t="s">
        <v>50</v>
      </c>
      <c r="AM121" s="95" t="s">
        <v>50</v>
      </c>
      <c r="AN121" s="95" t="s">
        <v>50</v>
      </c>
      <c r="AO121" s="95" t="s">
        <v>50</v>
      </c>
      <c r="AP121" s="95" t="s">
        <v>50</v>
      </c>
      <c r="AQ121" s="95" t="s">
        <v>50</v>
      </c>
      <c r="AR121" s="95" t="s">
        <v>50</v>
      </c>
      <c r="AS121" s="95" t="s">
        <v>50</v>
      </c>
      <c r="AT121" s="95" t="s">
        <v>50</v>
      </c>
      <c r="AU121" s="95" t="s">
        <v>50</v>
      </c>
      <c r="AV121" s="95" t="s">
        <v>50</v>
      </c>
      <c r="AW121" s="95" t="s">
        <v>50</v>
      </c>
      <c r="AX121" s="95" t="s">
        <v>50</v>
      </c>
      <c r="AY121" s="95" t="s">
        <v>50</v>
      </c>
      <c r="AZ121" s="95" t="s">
        <v>50</v>
      </c>
      <c r="BA121" s="95" t="s">
        <v>50</v>
      </c>
      <c r="BB121" s="95" t="s">
        <v>50</v>
      </c>
      <c r="BC121" s="95" t="s">
        <v>50</v>
      </c>
      <c r="BD121" s="95" t="s">
        <v>50</v>
      </c>
      <c r="BE121" s="95" t="s">
        <v>50</v>
      </c>
      <c r="BF121" s="95" t="s">
        <v>50</v>
      </c>
      <c r="BG121" s="95" t="s">
        <v>50</v>
      </c>
      <c r="BH121" s="95" t="s">
        <v>50</v>
      </c>
      <c r="BI121" s="95" t="s">
        <v>50</v>
      </c>
      <c r="BJ121" s="95" t="s">
        <v>50</v>
      </c>
      <c r="BK121" s="89">
        <f>+BK115/((BK68+BJ68)/2*1000)</f>
        <v>6.4598190139380067</v>
      </c>
      <c r="BL121" s="89">
        <f t="shared" ref="BL121:CE121" si="119">+BL115/((BL68+BK68)/2*1000)</f>
        <v>5.7517522509152075</v>
      </c>
      <c r="BM121" s="89">
        <f t="shared" si="119"/>
        <v>5.8595199395199407</v>
      </c>
      <c r="BN121" s="89">
        <f t="shared" si="119"/>
        <v>6.3080600773450852</v>
      </c>
      <c r="BO121" s="89">
        <f t="shared" si="119"/>
        <v>6.0793997965412006</v>
      </c>
      <c r="BP121" s="89">
        <f t="shared" si="119"/>
        <v>5.0499301709607511</v>
      </c>
      <c r="BQ121" s="89">
        <f t="shared" si="119"/>
        <v>5.0528704980842916</v>
      </c>
      <c r="BR121" s="89">
        <f t="shared" si="119"/>
        <v>5.6433531436628455</v>
      </c>
      <c r="BS121" s="89">
        <f t="shared" si="119"/>
        <v>5.4294962888468641</v>
      </c>
      <c r="BT121" s="89">
        <f t="shared" si="119"/>
        <v>4.3241864509843673</v>
      </c>
      <c r="BU121" s="89">
        <f t="shared" si="119"/>
        <v>4.9929653225546948</v>
      </c>
      <c r="BV121" s="89">
        <f t="shared" si="119"/>
        <v>4.6241127339128427</v>
      </c>
      <c r="BW121" s="89">
        <f t="shared" si="119"/>
        <v>4.6749949499828736</v>
      </c>
      <c r="BX121" s="89">
        <f t="shared" si="119"/>
        <v>4.591810952568947</v>
      </c>
      <c r="BY121" s="89">
        <f t="shared" si="119"/>
        <v>5.1744677708229476</v>
      </c>
      <c r="BZ121" s="89">
        <f t="shared" si="119"/>
        <v>4.8835372395269134</v>
      </c>
      <c r="CA121" s="89">
        <f t="shared" si="119"/>
        <v>8.9946854686116016</v>
      </c>
      <c r="CB121" s="89">
        <f t="shared" si="119"/>
        <v>8.4513619248715717</v>
      </c>
      <c r="CC121" s="89">
        <f t="shared" si="119"/>
        <v>9.3702373408407009</v>
      </c>
      <c r="CD121" s="89">
        <f t="shared" si="119"/>
        <v>9.3508914758593047</v>
      </c>
      <c r="CE121" s="89">
        <f t="shared" si="119"/>
        <v>13.055894807056594</v>
      </c>
      <c r="CF121" s="365">
        <f>+CF115/((CF68+CE68)/2*1000)</f>
        <v>9.2612301446529433</v>
      </c>
      <c r="CH121" s="457"/>
      <c r="CI121" s="457"/>
      <c r="CJ121" s="457"/>
      <c r="CK121" s="457"/>
      <c r="CL121" s="457"/>
      <c r="CM121" s="457"/>
      <c r="CN121" s="457"/>
      <c r="CO121" s="457"/>
      <c r="CP121" s="457"/>
    </row>
    <row r="122" spans="1:94" x14ac:dyDescent="0.2">
      <c r="A122" s="35" t="s">
        <v>188</v>
      </c>
      <c r="B122" s="36"/>
      <c r="C122" s="86" t="s">
        <v>50</v>
      </c>
      <c r="D122" s="86" t="s">
        <v>50</v>
      </c>
      <c r="E122" s="86" t="s">
        <v>50</v>
      </c>
      <c r="F122" s="86" t="s">
        <v>50</v>
      </c>
      <c r="G122" s="86" t="s">
        <v>50</v>
      </c>
      <c r="H122" s="86" t="s">
        <v>50</v>
      </c>
      <c r="I122" s="86" t="s">
        <v>50</v>
      </c>
      <c r="J122" s="86" t="s">
        <v>50</v>
      </c>
      <c r="K122" s="86" t="s">
        <v>50</v>
      </c>
      <c r="L122" s="86" t="s">
        <v>50</v>
      </c>
      <c r="M122" s="86" t="s">
        <v>50</v>
      </c>
      <c r="N122" s="86" t="s">
        <v>50</v>
      </c>
      <c r="O122" s="86" t="s">
        <v>50</v>
      </c>
      <c r="P122" s="86" t="s">
        <v>50</v>
      </c>
      <c r="Q122" s="86" t="s">
        <v>50</v>
      </c>
      <c r="R122" s="86" t="s">
        <v>50</v>
      </c>
      <c r="S122" s="86" t="s">
        <v>50</v>
      </c>
      <c r="T122" s="86" t="s">
        <v>50</v>
      </c>
      <c r="U122" s="86" t="s">
        <v>50</v>
      </c>
      <c r="V122" s="86" t="s">
        <v>50</v>
      </c>
      <c r="W122" s="86" t="s">
        <v>50</v>
      </c>
      <c r="X122" s="86" t="s">
        <v>50</v>
      </c>
      <c r="Y122" s="86" t="s">
        <v>50</v>
      </c>
      <c r="Z122" s="86" t="s">
        <v>50</v>
      </c>
      <c r="AA122" s="86" t="s">
        <v>50</v>
      </c>
      <c r="AB122" s="86" t="s">
        <v>50</v>
      </c>
      <c r="AC122" s="86" t="s">
        <v>50</v>
      </c>
      <c r="AD122" s="86" t="s">
        <v>50</v>
      </c>
      <c r="AE122" s="86" t="s">
        <v>50</v>
      </c>
      <c r="AF122" s="86" t="s">
        <v>50</v>
      </c>
      <c r="AG122" s="86" t="s">
        <v>50</v>
      </c>
      <c r="AH122" s="86" t="s">
        <v>50</v>
      </c>
      <c r="AI122" s="86" t="s">
        <v>50</v>
      </c>
      <c r="AJ122" s="86" t="s">
        <v>50</v>
      </c>
      <c r="AK122" s="86" t="s">
        <v>50</v>
      </c>
      <c r="AL122" s="86" t="s">
        <v>50</v>
      </c>
      <c r="AM122" s="86" t="s">
        <v>50</v>
      </c>
      <c r="AN122" s="86" t="s">
        <v>50</v>
      </c>
      <c r="AO122" s="86" t="s">
        <v>50</v>
      </c>
      <c r="AP122" s="86" t="s">
        <v>50</v>
      </c>
      <c r="AQ122" s="86" t="s">
        <v>50</v>
      </c>
      <c r="AR122" s="86" t="s">
        <v>50</v>
      </c>
      <c r="AS122" s="86" t="s">
        <v>50</v>
      </c>
      <c r="AT122" s="86" t="s">
        <v>50</v>
      </c>
      <c r="AU122" s="86" t="s">
        <v>50</v>
      </c>
      <c r="AV122" s="86" t="s">
        <v>50</v>
      </c>
      <c r="AW122" s="86" t="s">
        <v>50</v>
      </c>
      <c r="AX122" s="86" t="s">
        <v>50</v>
      </c>
      <c r="AY122" s="384">
        <f t="shared" ref="AY122:CD122" si="120">+AY10/AY117</f>
        <v>9.4374954076882405E-4</v>
      </c>
      <c r="AZ122" s="384">
        <f t="shared" si="120"/>
        <v>9.2343049586845398E-4</v>
      </c>
      <c r="BA122" s="384">
        <f t="shared" si="120"/>
        <v>9.2611600136730974E-4</v>
      </c>
      <c r="BB122" s="384">
        <f t="shared" si="120"/>
        <v>9.3128547152059038E-4</v>
      </c>
      <c r="BC122" s="384">
        <f t="shared" si="120"/>
        <v>9.0902503958867375E-4</v>
      </c>
      <c r="BD122" s="384">
        <f t="shared" si="120"/>
        <v>8.4769815403581918E-4</v>
      </c>
      <c r="BE122" s="384">
        <f t="shared" si="120"/>
        <v>9.4390821047663929E-4</v>
      </c>
      <c r="BF122" s="384">
        <f t="shared" si="120"/>
        <v>9.360922783208525E-4</v>
      </c>
      <c r="BG122" s="384">
        <f t="shared" si="120"/>
        <v>8.8172943449837536E-4</v>
      </c>
      <c r="BH122" s="384">
        <f t="shared" si="120"/>
        <v>8.5990467566831111E-4</v>
      </c>
      <c r="BI122" s="384">
        <f t="shared" si="120"/>
        <v>7.8038794218318857E-4</v>
      </c>
      <c r="BJ122" s="384">
        <f t="shared" si="120"/>
        <v>7.5439983288927523E-4</v>
      </c>
      <c r="BK122" s="384">
        <f t="shared" si="120"/>
        <v>8.6824200882149223E-4</v>
      </c>
      <c r="BL122" s="384">
        <f t="shared" si="120"/>
        <v>8.4451502483952855E-4</v>
      </c>
      <c r="BM122" s="384">
        <f t="shared" si="120"/>
        <v>9.0875548663505086E-4</v>
      </c>
      <c r="BN122" s="384">
        <f t="shared" si="120"/>
        <v>9.1117017644829455E-4</v>
      </c>
      <c r="BO122" s="384">
        <f t="shared" si="120"/>
        <v>9.4995016674283522E-4</v>
      </c>
      <c r="BP122" s="385">
        <f t="shared" si="120"/>
        <v>9.2348155959480233E-4</v>
      </c>
      <c r="BQ122" s="384">
        <f t="shared" si="120"/>
        <v>9.4007476318015021E-4</v>
      </c>
      <c r="BR122" s="384">
        <f t="shared" si="120"/>
        <v>1.0307662651937992E-3</v>
      </c>
      <c r="BS122" s="384">
        <f t="shared" si="120"/>
        <v>1.0004406921875039E-3</v>
      </c>
      <c r="BT122" s="384">
        <f t="shared" si="120"/>
        <v>9.3409796570331706E-4</v>
      </c>
      <c r="BU122" s="384">
        <f t="shared" si="120"/>
        <v>9.8595402704842149E-4</v>
      </c>
      <c r="BV122" s="389">
        <f t="shared" si="120"/>
        <v>9.8292794507882637E-4</v>
      </c>
      <c r="BW122" s="385">
        <f t="shared" si="120"/>
        <v>9.4062409432394756E-4</v>
      </c>
      <c r="BX122" s="385">
        <f t="shared" si="120"/>
        <v>1.0037031110236092E-3</v>
      </c>
      <c r="BY122" s="385">
        <f t="shared" si="120"/>
        <v>1.0659421406428746E-3</v>
      </c>
      <c r="BZ122" s="384">
        <f t="shared" si="120"/>
        <v>9.8056357248583591E-4</v>
      </c>
      <c r="CA122" s="384">
        <f t="shared" si="120"/>
        <v>1.0831242380396149E-3</v>
      </c>
      <c r="CB122" s="384">
        <f t="shared" si="120"/>
        <v>1.0771569068946814E-3</v>
      </c>
      <c r="CC122" s="384">
        <f t="shared" si="120"/>
        <v>1.1358265990156846E-3</v>
      </c>
      <c r="CD122" s="384">
        <f t="shared" si="120"/>
        <v>1.1291471091895236E-3</v>
      </c>
      <c r="CE122" s="384">
        <f>+CE10/CE117</f>
        <v>1.2201044730129594E-3</v>
      </c>
      <c r="CF122" s="386">
        <f>+CF10/CF117</f>
        <v>1.145438351121087E-3</v>
      </c>
      <c r="CH122" s="457"/>
      <c r="CI122" s="457"/>
      <c r="CJ122" s="457"/>
      <c r="CK122" s="457"/>
      <c r="CL122" s="457"/>
      <c r="CM122" s="457"/>
      <c r="CN122" s="457"/>
      <c r="CO122" s="457"/>
      <c r="CP122" s="457"/>
    </row>
    <row r="123" spans="1:94" x14ac:dyDescent="0.2">
      <c r="A123" s="43" t="s">
        <v>115</v>
      </c>
      <c r="B123" s="44"/>
      <c r="C123" s="90">
        <f t="shared" ref="C123:AH123" si="121">+C12/(C124)</f>
        <v>0.20468750000000002</v>
      </c>
      <c r="D123" s="90">
        <f t="shared" si="121"/>
        <v>0.14237288135593218</v>
      </c>
      <c r="E123" s="90">
        <f t="shared" si="121"/>
        <v>0.11692307692307694</v>
      </c>
      <c r="F123" s="90">
        <f t="shared" si="121"/>
        <v>0.36612903225806448</v>
      </c>
      <c r="G123" s="90">
        <f t="shared" si="121"/>
        <v>0.28225806451612906</v>
      </c>
      <c r="H123" s="90">
        <f t="shared" si="121"/>
        <v>0.20333333333333331</v>
      </c>
      <c r="I123" s="90">
        <f t="shared" si="121"/>
        <v>0.22878787878787882</v>
      </c>
      <c r="J123" s="90">
        <f t="shared" si="121"/>
        <v>0.40322580645161288</v>
      </c>
      <c r="K123" s="90">
        <f t="shared" si="121"/>
        <v>0.2661290322580645</v>
      </c>
      <c r="L123" s="90">
        <f t="shared" si="121"/>
        <v>0.29661016949152541</v>
      </c>
      <c r="M123" s="90">
        <f t="shared" si="121"/>
        <v>0.40151515151515149</v>
      </c>
      <c r="N123" s="90">
        <f t="shared" si="121"/>
        <v>0.45967741935483869</v>
      </c>
      <c r="O123" s="90">
        <f t="shared" si="121"/>
        <v>0.73809523809523814</v>
      </c>
      <c r="P123" s="90">
        <f t="shared" si="121"/>
        <v>0.44666666666666666</v>
      </c>
      <c r="Q123" s="90">
        <f t="shared" si="121"/>
        <v>0.31363636363636366</v>
      </c>
      <c r="R123" s="90">
        <f t="shared" si="121"/>
        <v>0.45468750000000002</v>
      </c>
      <c r="S123" s="90">
        <f t="shared" si="121"/>
        <v>0.52950819672131144</v>
      </c>
      <c r="T123" s="90">
        <f t="shared" si="121"/>
        <v>0.55806451612903218</v>
      </c>
      <c r="U123" s="90">
        <f t="shared" si="121"/>
        <v>0.62878787878787878</v>
      </c>
      <c r="V123" s="90">
        <f t="shared" si="121"/>
        <v>0.71562500000000007</v>
      </c>
      <c r="W123" s="90">
        <f t="shared" si="121"/>
        <v>1.096875</v>
      </c>
      <c r="X123" s="90">
        <f t="shared" si="121"/>
        <v>1.1355932203389831</v>
      </c>
      <c r="Y123" s="90">
        <f t="shared" si="121"/>
        <v>0.66923076923076918</v>
      </c>
      <c r="Z123" s="90">
        <f t="shared" si="121"/>
        <v>0.95161290322580661</v>
      </c>
      <c r="AA123" s="90">
        <f t="shared" si="121"/>
        <v>1.1140625</v>
      </c>
      <c r="AB123" s="90">
        <f t="shared" si="121"/>
        <v>0.94666666666666666</v>
      </c>
      <c r="AC123" s="90">
        <f t="shared" si="121"/>
        <v>0.93100000000000016</v>
      </c>
      <c r="AD123" s="90">
        <f t="shared" si="121"/>
        <v>1.0806451612903225</v>
      </c>
      <c r="AE123" s="90">
        <f t="shared" si="121"/>
        <v>1.0408130081300815</v>
      </c>
      <c r="AF123" s="90">
        <f t="shared" si="121"/>
        <v>0.81170731707317079</v>
      </c>
      <c r="AG123" s="90">
        <f t="shared" si="121"/>
        <v>0.80909090909090919</v>
      </c>
      <c r="AH123" s="90">
        <f t="shared" si="121"/>
        <v>1.0081300813008129</v>
      </c>
      <c r="AI123" s="90">
        <f t="shared" ref="AI123:BN123" si="122">+AI12/(AI124)</f>
        <v>0.94908943089430908</v>
      </c>
      <c r="AJ123" s="90">
        <f t="shared" si="122"/>
        <v>1.4017094017094016</v>
      </c>
      <c r="AK123" s="90">
        <f t="shared" si="122"/>
        <v>1.1666666666666667</v>
      </c>
      <c r="AL123" s="90">
        <f t="shared" si="122"/>
        <v>1.32</v>
      </c>
      <c r="AM123" s="90">
        <f t="shared" si="122"/>
        <v>1.4146341463414633</v>
      </c>
      <c r="AN123" s="90">
        <f t="shared" si="122"/>
        <v>1.4621848739495797</v>
      </c>
      <c r="AO123" s="90">
        <f t="shared" si="122"/>
        <v>1.0606060606060606</v>
      </c>
      <c r="AP123" s="90">
        <f t="shared" si="122"/>
        <v>1.3370078740157478</v>
      </c>
      <c r="AQ123" s="90">
        <f t="shared" si="122"/>
        <v>1.4</v>
      </c>
      <c r="AR123" s="90">
        <f t="shared" si="122"/>
        <v>1.0847457627118644</v>
      </c>
      <c r="AS123" s="90">
        <f t="shared" si="122"/>
        <v>1.3181818181818181</v>
      </c>
      <c r="AT123" s="90">
        <f t="shared" si="122"/>
        <v>1.0551181102362204</v>
      </c>
      <c r="AU123" s="90">
        <f t="shared" si="122"/>
        <v>1.1023622047244095</v>
      </c>
      <c r="AV123" s="90">
        <f t="shared" si="122"/>
        <v>0.92173913043478262</v>
      </c>
      <c r="AW123" s="90">
        <f t="shared" si="122"/>
        <v>0.72307692307692306</v>
      </c>
      <c r="AX123" s="90">
        <f t="shared" si="122"/>
        <v>0.74796747967479671</v>
      </c>
      <c r="AY123" s="90">
        <f t="shared" si="122"/>
        <v>1.0406504065040652</v>
      </c>
      <c r="AZ123" s="90">
        <f t="shared" si="122"/>
        <v>0.86440677966101698</v>
      </c>
      <c r="BA123" s="90">
        <f t="shared" si="122"/>
        <v>0.95454545454545459</v>
      </c>
      <c r="BB123" s="90">
        <f t="shared" si="122"/>
        <v>1.089430894308943</v>
      </c>
      <c r="BC123" s="90">
        <f t="shared" si="122"/>
        <v>1.2483870967741937</v>
      </c>
      <c r="BD123" s="90">
        <f t="shared" si="122"/>
        <v>1.0573913043478262</v>
      </c>
      <c r="BE123" s="90">
        <f t="shared" si="122"/>
        <v>1.009090909090909</v>
      </c>
      <c r="BF123" s="90">
        <f t="shared" si="122"/>
        <v>1.3154471544715445</v>
      </c>
      <c r="BG123" s="90">
        <f t="shared" si="122"/>
        <v>1.8373983739837398</v>
      </c>
      <c r="BH123" s="90">
        <f t="shared" si="122"/>
        <v>1.8461538461538463</v>
      </c>
      <c r="BI123" s="90">
        <f t="shared" si="122"/>
        <v>1.7045454545454546</v>
      </c>
      <c r="BJ123" s="90">
        <f t="shared" si="122"/>
        <v>2.3318240000000001</v>
      </c>
      <c r="BK123" s="302">
        <f t="shared" si="122"/>
        <v>2.0866666666666664</v>
      </c>
      <c r="BL123" s="302">
        <f t="shared" si="122"/>
        <v>1.7821138211382113</v>
      </c>
      <c r="BM123" s="302">
        <f t="shared" si="122"/>
        <v>1.7121212121212124</v>
      </c>
      <c r="BN123" s="302">
        <f t="shared" si="122"/>
        <v>1.91496062992126</v>
      </c>
      <c r="BO123" s="302">
        <f t="shared" ref="BO123:CE123" si="123">+BO12/(BO124)</f>
        <v>1.9165354330708664</v>
      </c>
      <c r="BP123" s="302">
        <f t="shared" si="123"/>
        <v>1.7286206896551723</v>
      </c>
      <c r="BQ123" s="302">
        <f t="shared" si="123"/>
        <v>1.6256923076923078</v>
      </c>
      <c r="BR123" s="302">
        <f t="shared" si="123"/>
        <v>1.9494079999999998</v>
      </c>
      <c r="BS123" s="302">
        <f t="shared" si="123"/>
        <v>1.9618064516129032</v>
      </c>
      <c r="BT123" s="302">
        <f t="shared" si="123"/>
        <v>1.5523898305084747</v>
      </c>
      <c r="BU123" s="302">
        <f t="shared" si="123"/>
        <v>1.7074615384615381</v>
      </c>
      <c r="BV123" s="390">
        <f t="shared" si="123"/>
        <v>1.8056047482926827</v>
      </c>
      <c r="BW123" s="302">
        <f t="shared" si="123"/>
        <v>1.7826565031746018</v>
      </c>
      <c r="BX123" s="302">
        <f t="shared" si="123"/>
        <v>1.8232440453913044</v>
      </c>
      <c r="BY123" s="302">
        <f t="shared" si="123"/>
        <v>1.904355996969697</v>
      </c>
      <c r="BZ123" s="302">
        <f t="shared" si="123"/>
        <v>2.0007596479674796</v>
      </c>
      <c r="CA123" s="302">
        <f t="shared" si="123"/>
        <v>4.2516224653798158</v>
      </c>
      <c r="CB123" s="302">
        <f t="shared" si="123"/>
        <v>4.4455544000579605</v>
      </c>
      <c r="CC123" s="302">
        <f t="shared" si="123"/>
        <v>4.2833407212635146</v>
      </c>
      <c r="CD123" s="89">
        <f t="shared" si="123"/>
        <v>4.662815231108608</v>
      </c>
      <c r="CE123" s="89">
        <f t="shared" si="123"/>
        <v>7.1325743651311218</v>
      </c>
      <c r="CF123" s="365">
        <f>+CF12/(CF124)</f>
        <v>5.608553293221715</v>
      </c>
      <c r="CG123" s="470"/>
      <c r="CH123" s="457"/>
      <c r="CI123" s="457"/>
      <c r="CJ123" s="457"/>
      <c r="CK123" s="457"/>
      <c r="CL123" s="457"/>
      <c r="CM123" s="457"/>
      <c r="CN123" s="457"/>
      <c r="CO123" s="457"/>
      <c r="CP123" s="457"/>
    </row>
    <row r="124" spans="1:94" x14ac:dyDescent="0.2">
      <c r="A124" s="43" t="s">
        <v>32</v>
      </c>
      <c r="B124" s="44"/>
      <c r="C124" s="90">
        <v>64</v>
      </c>
      <c r="D124" s="90">
        <v>59</v>
      </c>
      <c r="E124" s="90">
        <v>65</v>
      </c>
      <c r="F124" s="90">
        <v>62</v>
      </c>
      <c r="G124" s="90">
        <v>62</v>
      </c>
      <c r="H124" s="90">
        <v>60</v>
      </c>
      <c r="I124" s="90">
        <v>66</v>
      </c>
      <c r="J124" s="90">
        <v>62</v>
      </c>
      <c r="K124" s="90">
        <v>62</v>
      </c>
      <c r="L124" s="90">
        <v>59</v>
      </c>
      <c r="M124" s="90">
        <v>66</v>
      </c>
      <c r="N124" s="90">
        <v>62</v>
      </c>
      <c r="O124" s="90">
        <v>63</v>
      </c>
      <c r="P124" s="90">
        <v>60</v>
      </c>
      <c r="Q124" s="90">
        <v>66</v>
      </c>
      <c r="R124" s="90">
        <v>64</v>
      </c>
      <c r="S124" s="90">
        <v>61</v>
      </c>
      <c r="T124" s="90">
        <v>62</v>
      </c>
      <c r="U124" s="90">
        <v>66</v>
      </c>
      <c r="V124" s="90">
        <v>64</v>
      </c>
      <c r="W124" s="90">
        <v>64</v>
      </c>
      <c r="X124" s="90">
        <v>59</v>
      </c>
      <c r="Y124" s="90">
        <v>65</v>
      </c>
      <c r="Z124" s="90">
        <v>62</v>
      </c>
      <c r="AA124" s="90">
        <v>64</v>
      </c>
      <c r="AB124" s="90">
        <v>60</v>
      </c>
      <c r="AC124" s="90">
        <v>65</v>
      </c>
      <c r="AD124" s="90">
        <v>62</v>
      </c>
      <c r="AE124" s="90">
        <v>61.5</v>
      </c>
      <c r="AF124" s="90">
        <v>61.5</v>
      </c>
      <c r="AG124" s="90">
        <v>66</v>
      </c>
      <c r="AH124" s="90">
        <v>61.5</v>
      </c>
      <c r="AI124" s="90">
        <v>61.5</v>
      </c>
      <c r="AJ124" s="90">
        <v>58.5</v>
      </c>
      <c r="AK124" s="90">
        <v>66</v>
      </c>
      <c r="AL124" s="90">
        <v>62.5</v>
      </c>
      <c r="AM124" s="90">
        <v>61.5</v>
      </c>
      <c r="AN124" s="90">
        <v>59.5</v>
      </c>
      <c r="AO124" s="90">
        <v>66</v>
      </c>
      <c r="AP124" s="90">
        <v>63.5</v>
      </c>
      <c r="AQ124" s="90">
        <v>62.5</v>
      </c>
      <c r="AR124" s="90">
        <v>59</v>
      </c>
      <c r="AS124" s="90">
        <v>66</v>
      </c>
      <c r="AT124" s="90">
        <v>63.5</v>
      </c>
      <c r="AU124" s="90">
        <v>63.5</v>
      </c>
      <c r="AV124" s="90">
        <v>57.5</v>
      </c>
      <c r="AW124" s="90">
        <v>65</v>
      </c>
      <c r="AX124" s="90">
        <v>61.5</v>
      </c>
      <c r="AY124" s="90">
        <v>61.5</v>
      </c>
      <c r="AZ124" s="90">
        <v>59</v>
      </c>
      <c r="BA124" s="90">
        <v>66</v>
      </c>
      <c r="BB124" s="90">
        <v>61.5</v>
      </c>
      <c r="BC124" s="90">
        <v>62</v>
      </c>
      <c r="BD124" s="90">
        <v>57.5</v>
      </c>
      <c r="BE124" s="90">
        <v>66</v>
      </c>
      <c r="BF124" s="90">
        <v>61.5</v>
      </c>
      <c r="BG124" s="90">
        <v>61.5</v>
      </c>
      <c r="BH124" s="90">
        <v>58.5</v>
      </c>
      <c r="BI124" s="90">
        <v>66</v>
      </c>
      <c r="BJ124" s="90">
        <v>62.5</v>
      </c>
      <c r="BK124" s="302">
        <v>60</v>
      </c>
      <c r="BL124" s="302">
        <v>61.5</v>
      </c>
      <c r="BM124" s="302">
        <v>66</v>
      </c>
      <c r="BN124" s="302">
        <v>63.5</v>
      </c>
      <c r="BO124" s="302">
        <v>63.5</v>
      </c>
      <c r="BP124" s="302">
        <v>58</v>
      </c>
      <c r="BQ124" s="302">
        <v>65</v>
      </c>
      <c r="BR124" s="302">
        <v>62.5</v>
      </c>
      <c r="BS124" s="302">
        <v>62</v>
      </c>
      <c r="BT124" s="302">
        <v>59</v>
      </c>
      <c r="BU124" s="302">
        <v>65</v>
      </c>
      <c r="BV124" s="390">
        <v>61.5</v>
      </c>
      <c r="BW124" s="302">
        <v>63</v>
      </c>
      <c r="BX124" s="302">
        <v>57.5</v>
      </c>
      <c r="BY124" s="302">
        <v>66</v>
      </c>
      <c r="BZ124" s="302">
        <v>61.5</v>
      </c>
      <c r="CA124" s="302">
        <v>63</v>
      </c>
      <c r="CB124" s="302">
        <v>58.5</v>
      </c>
      <c r="CC124" s="302">
        <v>66</v>
      </c>
      <c r="CD124" s="89">
        <v>62.5</v>
      </c>
      <c r="CE124" s="89">
        <v>61.5</v>
      </c>
      <c r="CF124" s="365">
        <v>59.5</v>
      </c>
      <c r="CG124" s="470"/>
      <c r="CH124" s="457"/>
      <c r="CI124" s="457"/>
      <c r="CJ124" s="457"/>
      <c r="CK124" s="457"/>
      <c r="CL124" s="457"/>
      <c r="CM124" s="457"/>
      <c r="CN124" s="457"/>
      <c r="CO124" s="457"/>
      <c r="CP124" s="457"/>
    </row>
    <row r="125" spans="1:94" x14ac:dyDescent="0.2">
      <c r="A125" s="10"/>
      <c r="B125" s="1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7"/>
      <c r="AD125" s="127"/>
      <c r="AE125" s="127"/>
      <c r="AF125" s="127"/>
      <c r="AG125" s="127"/>
      <c r="AH125" s="127"/>
      <c r="AI125" s="127"/>
      <c r="AJ125" s="97"/>
      <c r="AK125" s="98"/>
      <c r="AL125" s="97"/>
      <c r="AM125" s="127"/>
      <c r="AN125" s="97"/>
      <c r="AO125" s="97"/>
      <c r="AP125" s="97"/>
      <c r="AQ125" s="97"/>
      <c r="AR125" s="97"/>
      <c r="AS125" s="98"/>
      <c r="AT125" s="127"/>
      <c r="AU125" s="127"/>
      <c r="AV125" s="97"/>
      <c r="AW125" s="97"/>
      <c r="AX125" s="97"/>
      <c r="AY125" s="97"/>
      <c r="AZ125" s="97"/>
      <c r="BA125" s="97"/>
      <c r="BB125" s="97"/>
      <c r="BC125" s="97"/>
      <c r="BD125" s="97"/>
      <c r="BE125" s="97"/>
      <c r="BF125" s="97"/>
      <c r="BG125" s="97"/>
      <c r="BH125" s="97"/>
      <c r="BI125" s="29"/>
      <c r="BJ125" s="97"/>
      <c r="BK125" s="97"/>
      <c r="BL125" s="97"/>
      <c r="BM125" s="97"/>
      <c r="BN125" s="97"/>
      <c r="BO125" s="97"/>
      <c r="BP125" s="98"/>
      <c r="BQ125" s="97"/>
      <c r="BR125" s="98"/>
      <c r="BS125" s="97"/>
      <c r="BT125" s="97"/>
      <c r="BU125" s="97"/>
      <c r="BV125" s="97"/>
      <c r="BW125" s="127"/>
      <c r="BX125" s="127"/>
      <c r="BY125" s="127"/>
      <c r="BZ125" s="97"/>
      <c r="CA125" s="97"/>
      <c r="CB125" s="97"/>
      <c r="CC125" s="301"/>
      <c r="CD125" s="301"/>
      <c r="CE125" s="301"/>
      <c r="CF125" s="330"/>
      <c r="CH125" s="457"/>
      <c r="CI125" s="457"/>
      <c r="CJ125" s="457"/>
      <c r="CK125" s="457"/>
      <c r="CL125" s="457"/>
      <c r="CM125" s="457"/>
      <c r="CN125" s="457"/>
      <c r="CO125" s="457"/>
      <c r="CP125" s="457"/>
    </row>
    <row r="126" spans="1:94" x14ac:dyDescent="0.2">
      <c r="A126" s="237" t="s">
        <v>136</v>
      </c>
      <c r="B126" s="65"/>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9"/>
      <c r="AD126" s="29"/>
      <c r="AE126" s="29"/>
      <c r="AF126" s="29"/>
      <c r="AG126" s="29"/>
      <c r="AH126" s="29"/>
      <c r="AI126" s="29"/>
      <c r="AJ126" s="28"/>
      <c r="AK126" s="7"/>
      <c r="AL126" s="28"/>
      <c r="AM126" s="29"/>
      <c r="AN126" s="28"/>
      <c r="AO126" s="28"/>
      <c r="AP126" s="28"/>
      <c r="AQ126" s="28"/>
      <c r="AR126" s="28"/>
      <c r="AS126" s="7"/>
      <c r="AT126" s="29"/>
      <c r="AU126" s="29"/>
      <c r="AV126" s="28"/>
      <c r="AW126" s="28"/>
      <c r="AX126" s="28"/>
      <c r="AY126" s="28"/>
      <c r="AZ126" s="28"/>
      <c r="BA126" s="28"/>
      <c r="BB126" s="28"/>
      <c r="BC126" s="28"/>
      <c r="BD126" s="28"/>
      <c r="BE126" s="28"/>
      <c r="BF126" s="28"/>
      <c r="BG126" s="28"/>
      <c r="BH126" s="28"/>
      <c r="BI126" s="29"/>
      <c r="BJ126" s="28"/>
      <c r="BK126" s="28"/>
      <c r="BL126" s="28"/>
      <c r="BM126" s="28"/>
      <c r="BN126" s="28"/>
      <c r="BO126" s="28"/>
      <c r="BP126" s="7"/>
      <c r="BQ126" s="28"/>
      <c r="BR126" s="7"/>
      <c r="BS126" s="28"/>
      <c r="BT126" s="28"/>
      <c r="BU126" s="28"/>
      <c r="BV126" s="28"/>
      <c r="BW126" s="29"/>
      <c r="BX126" s="29"/>
      <c r="BY126" s="29"/>
      <c r="BZ126" s="28"/>
      <c r="CA126" s="28"/>
      <c r="CB126" s="28"/>
      <c r="CC126" s="291"/>
      <c r="CD126" s="291"/>
      <c r="CE126" s="291"/>
      <c r="CF126" s="268"/>
      <c r="CG126" s="457"/>
      <c r="CH126" s="457"/>
      <c r="CI126" s="457"/>
      <c r="CJ126" s="457"/>
      <c r="CK126" s="457"/>
      <c r="CL126" s="457"/>
      <c r="CM126" s="457"/>
      <c r="CN126" s="457"/>
      <c r="CO126" s="457"/>
      <c r="CP126" s="457"/>
    </row>
    <row r="127" spans="1:94" x14ac:dyDescent="0.2">
      <c r="A127" s="35" t="s">
        <v>179</v>
      </c>
      <c r="B127" s="245"/>
      <c r="C127" s="128">
        <f t="shared" ref="C127:AH127" si="124">(C31*4)/((B88+C88)/2)</f>
        <v>1.3453962223018111E-2</v>
      </c>
      <c r="D127" s="128">
        <f t="shared" si="124"/>
        <v>1.1294310918689519E-2</v>
      </c>
      <c r="E127" s="128">
        <f t="shared" si="124"/>
        <v>1.167133835399007E-2</v>
      </c>
      <c r="F127" s="128">
        <f t="shared" si="124"/>
        <v>1.604704702423013E-2</v>
      </c>
      <c r="G127" s="128">
        <f t="shared" si="124"/>
        <v>1.3541856647820536E-2</v>
      </c>
      <c r="H127" s="128">
        <f t="shared" si="124"/>
        <v>1.249135189687018E-2</v>
      </c>
      <c r="I127" s="128">
        <f t="shared" si="124"/>
        <v>1.9809286422931543E-2</v>
      </c>
      <c r="J127" s="128">
        <f t="shared" si="124"/>
        <v>2.5052397978054496E-2</v>
      </c>
      <c r="K127" s="128">
        <f t="shared" si="124"/>
        <v>1.740815405446066E-2</v>
      </c>
      <c r="L127" s="128">
        <f t="shared" si="124"/>
        <v>1.8511364421416234E-2</v>
      </c>
      <c r="M127" s="128">
        <f t="shared" si="124"/>
        <v>1.8708209829737362E-2</v>
      </c>
      <c r="N127" s="128">
        <f t="shared" si="124"/>
        <v>1.7708079955357781E-2</v>
      </c>
      <c r="O127" s="128">
        <f t="shared" si="124"/>
        <v>2.0064186378224172E-2</v>
      </c>
      <c r="P127" s="128">
        <f t="shared" si="124"/>
        <v>1.3255035472422835E-2</v>
      </c>
      <c r="Q127" s="128">
        <f t="shared" si="124"/>
        <v>1.0544873366213342E-2</v>
      </c>
      <c r="R127" s="128">
        <f t="shared" si="124"/>
        <v>1.3393658514201807E-2</v>
      </c>
      <c r="S127" s="128">
        <f t="shared" si="124"/>
        <v>1.297409182690897E-2</v>
      </c>
      <c r="T127" s="128">
        <f t="shared" si="124"/>
        <v>1.2181948884373838E-2</v>
      </c>
      <c r="U127" s="128">
        <f t="shared" si="124"/>
        <v>1.1712985255331841E-2</v>
      </c>
      <c r="V127" s="128">
        <f t="shared" si="124"/>
        <v>1.1243625612970508E-2</v>
      </c>
      <c r="W127" s="128">
        <f t="shared" si="124"/>
        <v>1.3979738155937211E-2</v>
      </c>
      <c r="X127" s="128">
        <f t="shared" si="124"/>
        <v>1.3253498296337953E-2</v>
      </c>
      <c r="Y127" s="128">
        <f t="shared" si="124"/>
        <v>9.11391871917616E-3</v>
      </c>
      <c r="Z127" s="128">
        <f t="shared" si="124"/>
        <v>1.1110515572482497E-2</v>
      </c>
      <c r="AA127" s="128">
        <f t="shared" si="124"/>
        <v>1.1474322150126445E-2</v>
      </c>
      <c r="AB127" s="128">
        <f t="shared" si="124"/>
        <v>1.1003227891524574E-2</v>
      </c>
      <c r="AC127" s="129">
        <f t="shared" si="124"/>
        <v>1.0080343477916654E-2</v>
      </c>
      <c r="AD127" s="130">
        <f t="shared" si="124"/>
        <v>1.2024362940934988E-2</v>
      </c>
      <c r="AE127" s="130">
        <f t="shared" si="124"/>
        <v>1.147135832746164E-2</v>
      </c>
      <c r="AF127" s="130">
        <f t="shared" si="124"/>
        <v>1.1164177228809366E-2</v>
      </c>
      <c r="AG127" s="130">
        <f t="shared" si="124"/>
        <v>1.076797627275247E-2</v>
      </c>
      <c r="AH127" s="130">
        <f t="shared" si="124"/>
        <v>1.2925637621622899E-2</v>
      </c>
      <c r="AI127" s="130">
        <f t="shared" ref="AI127:BN127" si="125">(AI31*4)/((AH88+AI88)/2)</f>
        <v>1.1490857340134606E-2</v>
      </c>
      <c r="AJ127" s="128">
        <f t="shared" si="125"/>
        <v>1.1933487883728049E-2</v>
      </c>
      <c r="AK127" s="130">
        <f t="shared" si="125"/>
        <v>9.4668179902015776E-3</v>
      </c>
      <c r="AL127" s="128">
        <f t="shared" si="125"/>
        <v>9.3624373982116992E-3</v>
      </c>
      <c r="AM127" s="130">
        <f t="shared" si="125"/>
        <v>8.7672650444830906E-3</v>
      </c>
      <c r="AN127" s="128">
        <f t="shared" si="125"/>
        <v>8.6095437997493474E-3</v>
      </c>
      <c r="AO127" s="128">
        <f t="shared" si="125"/>
        <v>7.2003290461940903E-3</v>
      </c>
      <c r="AP127" s="128">
        <f t="shared" si="125"/>
        <v>8.0367556989561287E-3</v>
      </c>
      <c r="AQ127" s="128">
        <f t="shared" si="125"/>
        <v>8.1539210469710518E-3</v>
      </c>
      <c r="AR127" s="128">
        <f t="shared" si="125"/>
        <v>7.5434035826597926E-3</v>
      </c>
      <c r="AS127" s="129">
        <f t="shared" si="125"/>
        <v>8.871002018164471E-3</v>
      </c>
      <c r="AT127" s="130">
        <f t="shared" si="125"/>
        <v>8.2341325335467518E-3</v>
      </c>
      <c r="AU127" s="130">
        <f t="shared" si="125"/>
        <v>7.9512333567788359E-3</v>
      </c>
      <c r="AV127" s="128">
        <f t="shared" si="125"/>
        <v>6.6475149784993321E-3</v>
      </c>
      <c r="AW127" s="128">
        <f t="shared" si="125"/>
        <v>5.8851302707835056E-3</v>
      </c>
      <c r="AX127" s="128">
        <f t="shared" si="125"/>
        <v>5.9247577160891993E-3</v>
      </c>
      <c r="AY127" s="128">
        <f t="shared" si="125"/>
        <v>6.2701569775607431E-3</v>
      </c>
      <c r="AZ127" s="128">
        <f t="shared" si="125"/>
        <v>5.4658500371195249E-3</v>
      </c>
      <c r="BA127" s="128">
        <f t="shared" si="125"/>
        <v>5.6322790982590385E-3</v>
      </c>
      <c r="BB127" s="128">
        <f t="shared" si="125"/>
        <v>5.6360696554279372E-3</v>
      </c>
      <c r="BC127" s="128">
        <f t="shared" si="125"/>
        <v>5.5657370623516077E-3</v>
      </c>
      <c r="BD127" s="128">
        <f t="shared" si="125"/>
        <v>4.921728621984079E-3</v>
      </c>
      <c r="BE127" s="128">
        <f t="shared" si="125"/>
        <v>4.7376625147471556E-3</v>
      </c>
      <c r="BF127" s="128">
        <f t="shared" si="125"/>
        <v>5.2645350273663261E-3</v>
      </c>
      <c r="BG127" s="128">
        <f t="shared" si="125"/>
        <v>5.4651937748429894E-3</v>
      </c>
      <c r="BH127" s="128">
        <f t="shared" si="125"/>
        <v>5.1627996055283211E-3</v>
      </c>
      <c r="BI127" s="129">
        <f t="shared" si="125"/>
        <v>4.570203266521241E-3</v>
      </c>
      <c r="BJ127" s="128">
        <f t="shared" si="125"/>
        <v>5.3459103427731603E-3</v>
      </c>
      <c r="BK127" s="128">
        <f t="shared" si="125"/>
        <v>4.5525004824954326E-3</v>
      </c>
      <c r="BL127" s="128">
        <f t="shared" si="125"/>
        <v>4.3963219225599736E-3</v>
      </c>
      <c r="BM127" s="128">
        <f t="shared" si="125"/>
        <v>4.0099838080896299E-3</v>
      </c>
      <c r="BN127" s="128">
        <f t="shared" si="125"/>
        <v>4.1773886280514439E-3</v>
      </c>
      <c r="BO127" s="128">
        <f t="shared" ref="BO127:CF127" si="126">(BO31*4)/((BN88+BO88)/2)</f>
        <v>3.9581916359790947E-3</v>
      </c>
      <c r="BP127" s="129">
        <f t="shared" si="126"/>
        <v>3.5563355530394574E-3</v>
      </c>
      <c r="BQ127" s="128">
        <f t="shared" si="126"/>
        <v>3.2891887158144769E-3</v>
      </c>
      <c r="BR127" s="128">
        <f t="shared" si="126"/>
        <v>3.841646290545554E-3</v>
      </c>
      <c r="BS127" s="128">
        <f t="shared" si="126"/>
        <v>3.7968918351436592E-3</v>
      </c>
      <c r="BT127" s="128">
        <f t="shared" si="126"/>
        <v>3.2716575869661535E-3</v>
      </c>
      <c r="BU127" s="128">
        <f t="shared" si="126"/>
        <v>3.3484326911207437E-3</v>
      </c>
      <c r="BV127" s="128">
        <f t="shared" si="126"/>
        <v>3.3841914019777683E-3</v>
      </c>
      <c r="BW127" s="130">
        <f t="shared" si="126"/>
        <v>3.3685655918507108E-3</v>
      </c>
      <c r="BX127" s="130">
        <f t="shared" si="126"/>
        <v>3.2704222366008082E-3</v>
      </c>
      <c r="BY127" s="130">
        <f t="shared" si="126"/>
        <v>3.4007788906869861E-3</v>
      </c>
      <c r="BZ127" s="128">
        <f t="shared" si="126"/>
        <v>3.3503333482071923E-3</v>
      </c>
      <c r="CA127" s="128">
        <f t="shared" si="126"/>
        <v>5.5849087247951002E-3</v>
      </c>
      <c r="CB127" s="128">
        <f t="shared" si="126"/>
        <v>5.1740118461119011E-3</v>
      </c>
      <c r="CC127" s="307">
        <f t="shared" si="126"/>
        <v>4.8011416548793861E-3</v>
      </c>
      <c r="CD127" s="307">
        <f t="shared" si="126"/>
        <v>5.2075633259797954E-3</v>
      </c>
      <c r="CE127" s="307">
        <f t="shared" si="126"/>
        <v>6.2509315065328568E-3</v>
      </c>
      <c r="CF127" s="280">
        <f t="shared" si="126"/>
        <v>4.4083799890719793E-3</v>
      </c>
      <c r="CG127" s="457"/>
      <c r="CH127" s="457"/>
      <c r="CI127" s="457"/>
      <c r="CJ127" s="457"/>
      <c r="CK127" s="457"/>
      <c r="CL127" s="457"/>
      <c r="CM127" s="457"/>
      <c r="CN127" s="457"/>
      <c r="CO127" s="457"/>
      <c r="CP127" s="457"/>
    </row>
    <row r="128" spans="1:94" x14ac:dyDescent="0.2">
      <c r="A128" s="104" t="s">
        <v>180</v>
      </c>
      <c r="B128" s="136"/>
      <c r="C128" s="137">
        <f t="shared" ref="C128:AH128" si="127">(-C37*4)/((B88+C88)/2)</f>
        <v>1.4057708777776047E-2</v>
      </c>
      <c r="D128" s="137">
        <f t="shared" si="127"/>
        <v>1.2774892404575909E-2</v>
      </c>
      <c r="E128" s="137">
        <f t="shared" si="127"/>
        <v>1.1141265070413022E-2</v>
      </c>
      <c r="F128" s="137">
        <f t="shared" si="127"/>
        <v>1.078434501151102E-2</v>
      </c>
      <c r="G128" s="137">
        <f t="shared" si="127"/>
        <v>1.2426135327375526E-2</v>
      </c>
      <c r="H128" s="137">
        <f t="shared" si="127"/>
        <v>1.2133875810065439E-2</v>
      </c>
      <c r="I128" s="137">
        <f t="shared" si="127"/>
        <v>1.4439133179734834E-2</v>
      </c>
      <c r="J128" s="137">
        <f t="shared" si="127"/>
        <v>1.4769736571733857E-2</v>
      </c>
      <c r="K128" s="137">
        <f t="shared" si="127"/>
        <v>1.3754776590943282E-2</v>
      </c>
      <c r="L128" s="137">
        <f t="shared" si="127"/>
        <v>1.1752124352331608E-2</v>
      </c>
      <c r="M128" s="137">
        <f t="shared" si="127"/>
        <v>9.5558466027894553E-3</v>
      </c>
      <c r="N128" s="137">
        <f t="shared" si="127"/>
        <v>9.8258667315314283E-3</v>
      </c>
      <c r="O128" s="137">
        <f t="shared" si="127"/>
        <v>8.4891661522298427E-3</v>
      </c>
      <c r="P128" s="137">
        <f t="shared" si="127"/>
        <v>6.7636996075034336E-3</v>
      </c>
      <c r="Q128" s="137">
        <f t="shared" si="127"/>
        <v>6.1733358173100498E-3</v>
      </c>
      <c r="R128" s="137">
        <f t="shared" si="127"/>
        <v>7.8831429052142136E-3</v>
      </c>
      <c r="S128" s="137">
        <f t="shared" si="127"/>
        <v>7.0920056228177576E-3</v>
      </c>
      <c r="T128" s="137">
        <f t="shared" si="127"/>
        <v>6.4051480836840972E-3</v>
      </c>
      <c r="U128" s="137">
        <f t="shared" si="127"/>
        <v>4.8555751728401667E-3</v>
      </c>
      <c r="V128" s="137">
        <f t="shared" si="127"/>
        <v>5.2285667036783296E-3</v>
      </c>
      <c r="W128" s="137">
        <f t="shared" si="127"/>
        <v>5.3827370900458773E-3</v>
      </c>
      <c r="X128" s="137">
        <f t="shared" si="127"/>
        <v>6.6820073439412481E-3</v>
      </c>
      <c r="Y128" s="137">
        <f t="shared" si="127"/>
        <v>4.226697606220904E-3</v>
      </c>
      <c r="Z128" s="137">
        <f t="shared" si="127"/>
        <v>5.4949063738505546E-3</v>
      </c>
      <c r="AA128" s="137">
        <f t="shared" si="127"/>
        <v>4.9375144697710021E-3</v>
      </c>
      <c r="AB128" s="137">
        <f t="shared" si="127"/>
        <v>5.150259767127136E-3</v>
      </c>
      <c r="AC128" s="138">
        <f t="shared" si="127"/>
        <v>4.2263814598390743E-3</v>
      </c>
      <c r="AD128" s="139">
        <f t="shared" si="127"/>
        <v>5.513551822013958E-3</v>
      </c>
      <c r="AE128" s="139">
        <f t="shared" si="127"/>
        <v>5.6820006351943975E-3</v>
      </c>
      <c r="AF128" s="139">
        <f t="shared" si="127"/>
        <v>6.0588888089346035E-3</v>
      </c>
      <c r="AG128" s="139">
        <f t="shared" si="127"/>
        <v>5.1009279682158373E-3</v>
      </c>
      <c r="AH128" s="139">
        <f t="shared" si="127"/>
        <v>7.6892363216154785E-3</v>
      </c>
      <c r="AI128" s="139">
        <f t="shared" ref="AI128:BN128" si="128">(-AI37*4)/((AH88+AI88)/2)</f>
        <v>5.7928967489388359E-3</v>
      </c>
      <c r="AJ128" s="137">
        <f t="shared" si="128"/>
        <v>5.3987124552473164E-3</v>
      </c>
      <c r="AK128" s="139">
        <f t="shared" si="128"/>
        <v>3.7343434451550172E-3</v>
      </c>
      <c r="AL128" s="137">
        <f t="shared" si="128"/>
        <v>4.2634290287060592E-3</v>
      </c>
      <c r="AM128" s="139">
        <f t="shared" si="128"/>
        <v>3.6457101726145129E-3</v>
      </c>
      <c r="AN128" s="137">
        <f t="shared" si="128"/>
        <v>4.1368470418317923E-3</v>
      </c>
      <c r="AO128" s="137">
        <f t="shared" si="128"/>
        <v>3.3080551411509614E-3</v>
      </c>
      <c r="AP128" s="137">
        <f t="shared" si="128"/>
        <v>3.9033653342093098E-3</v>
      </c>
      <c r="AQ128" s="137">
        <f t="shared" si="128"/>
        <v>3.3460068143686813E-3</v>
      </c>
      <c r="AR128" s="137">
        <f t="shared" si="128"/>
        <v>4.2189744673767939E-3</v>
      </c>
      <c r="AS128" s="138">
        <f t="shared" si="128"/>
        <v>3.7759105519967287E-3</v>
      </c>
      <c r="AT128" s="139">
        <f t="shared" si="128"/>
        <v>4.9100453087901827E-3</v>
      </c>
      <c r="AU128" s="139">
        <f t="shared" si="128"/>
        <v>4.3865754019669538E-3</v>
      </c>
      <c r="AV128" s="137">
        <f t="shared" si="128"/>
        <v>4.315074626297914E-3</v>
      </c>
      <c r="AW128" s="137">
        <f t="shared" si="128"/>
        <v>3.8362119148864825E-3</v>
      </c>
      <c r="AX128" s="137">
        <f t="shared" si="128"/>
        <v>4.1963928486396518E-3</v>
      </c>
      <c r="AY128" s="137">
        <f t="shared" si="128"/>
        <v>3.9571741878328881E-3</v>
      </c>
      <c r="AZ128" s="137">
        <f t="shared" si="128"/>
        <v>3.9845747752206553E-3</v>
      </c>
      <c r="BA128" s="137">
        <f t="shared" si="128"/>
        <v>2.8065399069478001E-3</v>
      </c>
      <c r="BB128" s="137">
        <f t="shared" si="128"/>
        <v>3.3068918876692395E-3</v>
      </c>
      <c r="BC128" s="137">
        <f t="shared" si="128"/>
        <v>3.0489994126357764E-3</v>
      </c>
      <c r="BD128" s="137">
        <f t="shared" si="128"/>
        <v>2.8639640123745845E-3</v>
      </c>
      <c r="BE128" s="137">
        <f t="shared" si="128"/>
        <v>2.6544146203844152E-3</v>
      </c>
      <c r="BF128" s="137">
        <f t="shared" si="128"/>
        <v>2.9908325368842997E-3</v>
      </c>
      <c r="BG128" s="137">
        <f t="shared" si="128"/>
        <v>2.5982762623234222E-3</v>
      </c>
      <c r="BH128" s="137">
        <f t="shared" si="128"/>
        <v>2.3750625294781825E-3</v>
      </c>
      <c r="BI128" s="138">
        <f t="shared" si="128"/>
        <v>2.1087343477838951E-3</v>
      </c>
      <c r="BJ128" s="137">
        <f t="shared" si="128"/>
        <v>2.3457834776199026E-3</v>
      </c>
      <c r="BK128" s="137">
        <f t="shared" si="128"/>
        <v>2.2223588588967573E-3</v>
      </c>
      <c r="BL128" s="137">
        <f t="shared" si="128"/>
        <v>2.1775127650310025E-3</v>
      </c>
      <c r="BM128" s="137">
        <f t="shared" si="128"/>
        <v>1.7665435825500182E-3</v>
      </c>
      <c r="BN128" s="137">
        <f t="shared" si="128"/>
        <v>2.1841119485149271E-3</v>
      </c>
      <c r="BO128" s="137">
        <f t="shared" ref="BO128:BU128" si="129">(-BO37*4)/((BN88+BO88)/2)</f>
        <v>2.0089185946185902E-3</v>
      </c>
      <c r="BP128" s="138">
        <f t="shared" si="129"/>
        <v>1.9872094718909367E-3</v>
      </c>
      <c r="BQ128" s="137">
        <f t="shared" si="129"/>
        <v>1.7844228322397458E-3</v>
      </c>
      <c r="BR128" s="137">
        <f t="shared" si="129"/>
        <v>2.2309986906475943E-3</v>
      </c>
      <c r="BS128" s="137">
        <f t="shared" si="129"/>
        <v>2.1293514046627489E-3</v>
      </c>
      <c r="BT128" s="137">
        <f t="shared" si="129"/>
        <v>2.0549655626116029E-3</v>
      </c>
      <c r="BU128" s="137">
        <f t="shared" si="129"/>
        <v>1.6868917950906186E-3</v>
      </c>
      <c r="BV128" s="137">
        <f>(-(BV37+35)*4)/((BU88+BV88)/2)</f>
        <v>1.9593450085112368E-3</v>
      </c>
      <c r="BW128" s="139">
        <f t="shared" ref="BW128:CF128" si="130">(-BW37*4)/((BV88+BW88)/2)</f>
        <v>2.0670774730765281E-3</v>
      </c>
      <c r="BX128" s="139">
        <f t="shared" si="130"/>
        <v>1.9085738822807803E-3</v>
      </c>
      <c r="BY128" s="139">
        <f t="shared" si="130"/>
        <v>1.6123359451822254E-3</v>
      </c>
      <c r="BZ128" s="137">
        <f t="shared" si="130"/>
        <v>1.9069724712443932E-3</v>
      </c>
      <c r="CA128" s="137">
        <f t="shared" si="130"/>
        <v>1.8445029001459908E-3</v>
      </c>
      <c r="CB128" s="137">
        <f t="shared" si="130"/>
        <v>1.824799929232438E-3</v>
      </c>
      <c r="CC128" s="308">
        <f t="shared" si="130"/>
        <v>1.4784677506448488E-3</v>
      </c>
      <c r="CD128" s="308">
        <f t="shared" si="130"/>
        <v>1.6308760428532106E-3</v>
      </c>
      <c r="CE128" s="308">
        <f t="shared" si="130"/>
        <v>1.3226487371858823E-3</v>
      </c>
      <c r="CF128" s="281">
        <f t="shared" si="130"/>
        <v>1.265693934288288E-3</v>
      </c>
      <c r="CG128" s="457"/>
      <c r="CH128" s="457"/>
      <c r="CI128" s="457"/>
      <c r="CJ128" s="457"/>
      <c r="CK128" s="457"/>
      <c r="CL128" s="457"/>
      <c r="CM128" s="457"/>
      <c r="CN128" s="457"/>
      <c r="CO128" s="457"/>
      <c r="CP128" s="457"/>
    </row>
    <row r="129" spans="1:95" x14ac:dyDescent="0.2">
      <c r="A129" s="104" t="s">
        <v>181</v>
      </c>
      <c r="B129" s="141"/>
      <c r="C129" s="137">
        <f t="shared" ref="C129:AH129" si="131">(C43*4)/((B88+C88)/2)</f>
        <v>-6.0374655475793583E-4</v>
      </c>
      <c r="D129" s="137">
        <f t="shared" si="131"/>
        <v>-1.4805814858863898E-3</v>
      </c>
      <c r="E129" s="137">
        <f t="shared" si="131"/>
        <v>5.3007328357704807E-4</v>
      </c>
      <c r="F129" s="137">
        <f t="shared" si="131"/>
        <v>5.2627020127191098E-3</v>
      </c>
      <c r="G129" s="137">
        <f t="shared" si="131"/>
        <v>1.1157213204450115E-3</v>
      </c>
      <c r="H129" s="137">
        <f t="shared" si="131"/>
        <v>3.0669823356543072E-4</v>
      </c>
      <c r="I129" s="137">
        <f t="shared" si="131"/>
        <v>5.4357469068487983E-3</v>
      </c>
      <c r="J129" s="137">
        <f t="shared" si="131"/>
        <v>1.021690708091892E-2</v>
      </c>
      <c r="K129" s="137">
        <f t="shared" si="131"/>
        <v>3.653377463517377E-3</v>
      </c>
      <c r="L129" s="137">
        <f t="shared" si="131"/>
        <v>6.7592400690846266E-3</v>
      </c>
      <c r="M129" s="137">
        <f t="shared" si="131"/>
        <v>9.1523632269479085E-3</v>
      </c>
      <c r="N129" s="137">
        <f t="shared" si="131"/>
        <v>7.8822132238263506E-3</v>
      </c>
      <c r="O129" s="137">
        <f t="shared" si="131"/>
        <v>1.1575020225994331E-2</v>
      </c>
      <c r="P129" s="137">
        <f t="shared" si="131"/>
        <v>6.4913358649194017E-3</v>
      </c>
      <c r="Q129" s="137">
        <f t="shared" si="131"/>
        <v>4.3715375489032917E-3</v>
      </c>
      <c r="R129" s="137">
        <f t="shared" si="131"/>
        <v>5.5105156089875944E-3</v>
      </c>
      <c r="S129" s="137">
        <f t="shared" si="131"/>
        <v>5.8820862040912135E-3</v>
      </c>
      <c r="T129" s="137">
        <f t="shared" si="131"/>
        <v>5.7768008006897405E-3</v>
      </c>
      <c r="U129" s="137">
        <f t="shared" si="131"/>
        <v>6.8574100824916745E-3</v>
      </c>
      <c r="V129" s="137">
        <f t="shared" si="131"/>
        <v>6.028558603861589E-3</v>
      </c>
      <c r="W129" s="137">
        <f t="shared" si="131"/>
        <v>8.597001065891334E-3</v>
      </c>
      <c r="X129" s="137">
        <f t="shared" si="131"/>
        <v>6.571490952396705E-3</v>
      </c>
      <c r="Y129" s="137">
        <f t="shared" si="131"/>
        <v>4.8872211129552569E-3</v>
      </c>
      <c r="Z129" s="137">
        <f t="shared" si="131"/>
        <v>5.6156091986319422E-3</v>
      </c>
      <c r="AA129" s="137">
        <f t="shared" si="131"/>
        <v>6.4944122539740403E-3</v>
      </c>
      <c r="AB129" s="137">
        <f t="shared" si="131"/>
        <v>5.8529681243974377E-3</v>
      </c>
      <c r="AC129" s="137">
        <f t="shared" si="131"/>
        <v>5.853962018077581E-3</v>
      </c>
      <c r="AD129" s="137">
        <f t="shared" si="131"/>
        <v>6.4347144761847542E-3</v>
      </c>
      <c r="AE129" s="137">
        <f t="shared" si="131"/>
        <v>5.7893576922672437E-3</v>
      </c>
      <c r="AF129" s="137">
        <f t="shared" si="131"/>
        <v>5.1052884198747638E-3</v>
      </c>
      <c r="AG129" s="137">
        <f t="shared" si="131"/>
        <v>5.6670483045366338E-3</v>
      </c>
      <c r="AH129" s="137">
        <f t="shared" si="131"/>
        <v>5.2364013000074216E-3</v>
      </c>
      <c r="AI129" s="137">
        <f t="shared" ref="AI129:BN129" si="132">(AI43*4)/((AH88+AI88)/2)</f>
        <v>5.6979605911957705E-3</v>
      </c>
      <c r="AJ129" s="137">
        <f t="shared" si="132"/>
        <v>6.5347754284807331E-3</v>
      </c>
      <c r="AK129" s="137">
        <f t="shared" si="132"/>
        <v>5.7324745450465621E-3</v>
      </c>
      <c r="AL129" s="137">
        <f t="shared" si="132"/>
        <v>5.09900836950564E-3</v>
      </c>
      <c r="AM129" s="137">
        <f t="shared" si="132"/>
        <v>5.1215548718685777E-3</v>
      </c>
      <c r="AN129" s="137">
        <f t="shared" si="132"/>
        <v>4.4726967579175551E-3</v>
      </c>
      <c r="AO129" s="137">
        <f t="shared" si="132"/>
        <v>3.8922739050431289E-3</v>
      </c>
      <c r="AP129" s="137">
        <f t="shared" si="132"/>
        <v>4.1333903647468185E-3</v>
      </c>
      <c r="AQ129" s="137">
        <f t="shared" si="132"/>
        <v>4.8079142326023696E-3</v>
      </c>
      <c r="AR129" s="137">
        <f t="shared" si="132"/>
        <v>3.0563161280016092E-3</v>
      </c>
      <c r="AS129" s="137">
        <f t="shared" si="132"/>
        <v>5.0950914661677428E-3</v>
      </c>
      <c r="AT129" s="137">
        <f t="shared" si="132"/>
        <v>3.3240872247565696E-3</v>
      </c>
      <c r="AU129" s="137">
        <f t="shared" si="132"/>
        <v>3.5646579548118812E-3</v>
      </c>
      <c r="AV129" s="137">
        <f t="shared" si="132"/>
        <v>2.3324403522014181E-3</v>
      </c>
      <c r="AW129" s="137">
        <f t="shared" si="132"/>
        <v>2.0008431663004942E-3</v>
      </c>
      <c r="AX129" s="137">
        <f t="shared" si="132"/>
        <v>1.7283648674495482E-3</v>
      </c>
      <c r="AY129" s="137">
        <f t="shared" si="132"/>
        <v>2.312982789727855E-3</v>
      </c>
      <c r="AZ129" s="137">
        <f t="shared" si="132"/>
        <v>1.4812752618988702E-3</v>
      </c>
      <c r="BA129" s="137">
        <f t="shared" si="132"/>
        <v>2.8257391913112384E-3</v>
      </c>
      <c r="BB129" s="137">
        <f t="shared" si="132"/>
        <v>2.2934661922979064E-3</v>
      </c>
      <c r="BC129" s="137">
        <f t="shared" si="132"/>
        <v>2.5134285554976464E-3</v>
      </c>
      <c r="BD129" s="137">
        <f t="shared" si="132"/>
        <v>2.0546939931064662E-3</v>
      </c>
      <c r="BE129" s="137">
        <f t="shared" si="132"/>
        <v>2.086179005913518E-3</v>
      </c>
      <c r="BF129" s="137">
        <f t="shared" si="132"/>
        <v>2.2877084497256537E-3</v>
      </c>
      <c r="BG129" s="137">
        <f t="shared" si="132"/>
        <v>2.8644032893490566E-3</v>
      </c>
      <c r="BH129" s="137">
        <f t="shared" si="132"/>
        <v>2.7827971014907035E-3</v>
      </c>
      <c r="BI129" s="138">
        <f t="shared" si="132"/>
        <v>2.4604263335973276E-3</v>
      </c>
      <c r="BJ129" s="137">
        <f t="shared" si="132"/>
        <v>3.0032703003921028E-3</v>
      </c>
      <c r="BK129" s="137">
        <f t="shared" si="132"/>
        <v>2.3274784291858761E-3</v>
      </c>
      <c r="BL129" s="137">
        <f t="shared" si="132"/>
        <v>2.2143926005254609E-3</v>
      </c>
      <c r="BM129" s="137">
        <f t="shared" si="132"/>
        <v>2.2403243866537404E-3</v>
      </c>
      <c r="BN129" s="137">
        <f t="shared" si="132"/>
        <v>1.9935778723223032E-3</v>
      </c>
      <c r="BO129" s="137">
        <f t="shared" ref="BO129:BU129" si="133">(BO43*4)/((BN88+BO88)/2)</f>
        <v>1.9527534402150012E-3</v>
      </c>
      <c r="BP129" s="138">
        <f t="shared" si="133"/>
        <v>1.5701919355890412E-3</v>
      </c>
      <c r="BQ129" s="137">
        <f t="shared" si="133"/>
        <v>1.5059267197331306E-3</v>
      </c>
      <c r="BR129" s="137">
        <f t="shared" si="133"/>
        <v>1.6110063528859359E-3</v>
      </c>
      <c r="BS129" s="137">
        <f t="shared" si="133"/>
        <v>1.6724440594983513E-3</v>
      </c>
      <c r="BT129" s="137">
        <f t="shared" si="133"/>
        <v>1.2072553468576723E-3</v>
      </c>
      <c r="BU129" s="137">
        <f t="shared" si="133"/>
        <v>1.656049816287026E-3</v>
      </c>
      <c r="BV129" s="137">
        <f>((BV43+35)*4)/((BU88+BV88)/2)</f>
        <v>1.411795302240402E-3</v>
      </c>
      <c r="BW129" s="139">
        <f t="shared" ref="BW129:CF129" si="134">(BW43*4)/((BV88+BW88)/2)</f>
        <v>1.2581096588230919E-3</v>
      </c>
      <c r="BX129" s="139">
        <f t="shared" si="134"/>
        <v>1.3521467889674435E-3</v>
      </c>
      <c r="BY129" s="139">
        <f t="shared" si="134"/>
        <v>1.7656811557904683E-3</v>
      </c>
      <c r="BZ129" s="137">
        <f t="shared" si="134"/>
        <v>1.4277894131047041E-3</v>
      </c>
      <c r="CA129" s="137">
        <f t="shared" si="134"/>
        <v>3.7211192467512862E-3</v>
      </c>
      <c r="CB129" s="137">
        <f t="shared" si="134"/>
        <v>3.279692463383015E-3</v>
      </c>
      <c r="CC129" s="308">
        <f t="shared" si="134"/>
        <v>3.3080659490869529E-3</v>
      </c>
      <c r="CD129" s="308">
        <f t="shared" si="134"/>
        <v>3.5839463039607079E-3</v>
      </c>
      <c r="CE129" s="308">
        <f t="shared" si="134"/>
        <v>4.9376583050955792E-3</v>
      </c>
      <c r="CF129" s="281">
        <f t="shared" si="134"/>
        <v>3.1376589412656004E-3</v>
      </c>
      <c r="CG129" s="457"/>
      <c r="CH129" s="457"/>
      <c r="CI129" s="457"/>
      <c r="CJ129" s="457"/>
      <c r="CK129" s="457"/>
      <c r="CL129" s="457"/>
      <c r="CM129" s="457"/>
      <c r="CN129" s="457"/>
      <c r="CO129" s="457"/>
      <c r="CP129" s="457"/>
    </row>
    <row r="130" spans="1:95" ht="15" x14ac:dyDescent="0.2">
      <c r="A130" s="43" t="s">
        <v>249</v>
      </c>
      <c r="B130" s="44"/>
      <c r="C130" s="132">
        <f t="shared" ref="C130:AH130" si="135">(C17*4)/((B84+C84)/2)</f>
        <v>0</v>
      </c>
      <c r="D130" s="132">
        <f t="shared" si="135"/>
        <v>0</v>
      </c>
      <c r="E130" s="132">
        <f t="shared" si="135"/>
        <v>6.1538461538461538E-3</v>
      </c>
      <c r="F130" s="132">
        <f t="shared" si="135"/>
        <v>5.8181818181818187E-3</v>
      </c>
      <c r="G130" s="132">
        <f t="shared" si="135"/>
        <v>5.5172413793103453E-3</v>
      </c>
      <c r="H130" s="132">
        <f t="shared" si="135"/>
        <v>9.0322580645161282E-3</v>
      </c>
      <c r="I130" s="132">
        <f t="shared" si="135"/>
        <v>5.9701492537313433E-3</v>
      </c>
      <c r="J130" s="132">
        <f t="shared" si="135"/>
        <v>4.383561643835617E-3</v>
      </c>
      <c r="K130" s="132">
        <f t="shared" si="135"/>
        <v>3.1168831168831169E-3</v>
      </c>
      <c r="L130" s="132">
        <f t="shared" si="135"/>
        <v>4.0506329113924053E-3</v>
      </c>
      <c r="M130" s="132">
        <f t="shared" si="135"/>
        <v>5.4545454545454541E-3</v>
      </c>
      <c r="N130" s="132">
        <f t="shared" si="135"/>
        <v>4.8979591836734691E-3</v>
      </c>
      <c r="O130" s="132">
        <f t="shared" si="135"/>
        <v>6.918238993710692E-3</v>
      </c>
      <c r="P130" s="132">
        <f t="shared" si="135"/>
        <v>1.0289389067524116E-2</v>
      </c>
      <c r="Q130" s="132">
        <f t="shared" si="135"/>
        <v>7.1301247771836003E-3</v>
      </c>
      <c r="R130" s="132">
        <f t="shared" si="135"/>
        <v>1.0821643286573148E-2</v>
      </c>
      <c r="S130" s="132">
        <f t="shared" si="135"/>
        <v>2.218168551623495E-2</v>
      </c>
      <c r="T130" s="132">
        <f t="shared" si="135"/>
        <v>1.0816542948038176E-2</v>
      </c>
      <c r="U130" s="132">
        <f t="shared" si="135"/>
        <v>1.2212589521296644E-2</v>
      </c>
      <c r="V130" s="132">
        <f t="shared" si="135"/>
        <v>1.3945578231292518E-2</v>
      </c>
      <c r="W130" s="132">
        <f t="shared" si="135"/>
        <v>1.4878638226331826E-2</v>
      </c>
      <c r="X130" s="132">
        <f t="shared" si="135"/>
        <v>9.5556617295747739E-3</v>
      </c>
      <c r="Y130" s="132">
        <f t="shared" si="135"/>
        <v>4.5349730976172176E-3</v>
      </c>
      <c r="Z130" s="132">
        <f t="shared" si="135"/>
        <v>5.6690837178642057E-3</v>
      </c>
      <c r="AA130" s="132">
        <f t="shared" si="135"/>
        <v>7.5200918484500572E-3</v>
      </c>
      <c r="AB130" s="132">
        <f t="shared" si="135"/>
        <v>8.778869465356642E-3</v>
      </c>
      <c r="AC130" s="133">
        <f t="shared" si="135"/>
        <v>8.9845653939886281E-3</v>
      </c>
      <c r="AD130" s="134">
        <f t="shared" si="135"/>
        <v>8.4920945304206939E-3</v>
      </c>
      <c r="AE130" s="134">
        <f t="shared" si="135"/>
        <v>5.7234080293265535E-3</v>
      </c>
      <c r="AF130" s="134">
        <f t="shared" si="135"/>
        <v>7.0258486452818431E-3</v>
      </c>
      <c r="AG130" s="134">
        <f t="shared" si="135"/>
        <v>4.243750414428751E-3</v>
      </c>
      <c r="AH130" s="134">
        <f t="shared" si="135"/>
        <v>4.2511713495343448E-3</v>
      </c>
      <c r="AI130" s="134">
        <f t="shared" ref="AI130:BN130" si="136">(AI17*4)/((AH84+AI84)/2)</f>
        <v>4.4298223853939268E-3</v>
      </c>
      <c r="AJ130" s="132">
        <f t="shared" si="136"/>
        <v>5.5130935972935724E-3</v>
      </c>
      <c r="AK130" s="134">
        <f t="shared" si="136"/>
        <v>5.0243973138798977E-3</v>
      </c>
      <c r="AL130" s="132">
        <f t="shared" si="136"/>
        <v>5.5372338259842844E-3</v>
      </c>
      <c r="AM130" s="134">
        <f t="shared" si="136"/>
        <v>5.4717690913443449E-3</v>
      </c>
      <c r="AN130" s="132">
        <f t="shared" si="136"/>
        <v>5.5345911949685536E-3</v>
      </c>
      <c r="AO130" s="132">
        <f t="shared" si="136"/>
        <v>4.4460911448684698E-3</v>
      </c>
      <c r="AP130" s="132">
        <f t="shared" si="136"/>
        <v>4.8762081676486805E-3</v>
      </c>
      <c r="AQ130" s="132">
        <f t="shared" si="136"/>
        <v>4.6302676184438989E-3</v>
      </c>
      <c r="AR130" s="132">
        <f t="shared" si="136"/>
        <v>4.0549553154595169E-3</v>
      </c>
      <c r="AS130" s="133">
        <f t="shared" si="136"/>
        <v>3.8070311105823569E-3</v>
      </c>
      <c r="AT130" s="134">
        <f t="shared" si="136"/>
        <v>3.7527223990618196E-3</v>
      </c>
      <c r="AU130" s="134">
        <f t="shared" si="136"/>
        <v>4.1725470945572808E-3</v>
      </c>
      <c r="AV130" s="132">
        <f t="shared" si="136"/>
        <v>3.5034450543033981E-3</v>
      </c>
      <c r="AW130" s="132">
        <f t="shared" si="136"/>
        <v>3.6878043158834885E-3</v>
      </c>
      <c r="AX130" s="132">
        <f t="shared" si="136"/>
        <v>3.69484894588133E-3</v>
      </c>
      <c r="AY130" s="132">
        <f t="shared" si="136"/>
        <v>3.745872147469072E-3</v>
      </c>
      <c r="AZ130" s="132">
        <f t="shared" si="136"/>
        <v>3.6117381489841984E-3</v>
      </c>
      <c r="BA130" s="132">
        <f t="shared" si="136"/>
        <v>3.6485001762059746E-3</v>
      </c>
      <c r="BB130" s="132">
        <f t="shared" si="136"/>
        <v>3.2900271053369476E-3</v>
      </c>
      <c r="BC130" s="132">
        <f t="shared" si="136"/>
        <v>3.3084635900205933E-3</v>
      </c>
      <c r="BD130" s="132">
        <f t="shared" si="136"/>
        <v>3.2101774514757897E-3</v>
      </c>
      <c r="BE130" s="132">
        <f t="shared" si="136"/>
        <v>3.3256649311861806E-3</v>
      </c>
      <c r="BF130" s="132">
        <f t="shared" si="136"/>
        <v>3.1839682620416051E-3</v>
      </c>
      <c r="BG130" s="132">
        <f t="shared" si="136"/>
        <v>3.546138587528674E-3</v>
      </c>
      <c r="BH130" s="132">
        <f t="shared" si="136"/>
        <v>3.6022759834622785E-3</v>
      </c>
      <c r="BI130" s="133">
        <f t="shared" si="136"/>
        <v>3.2485029757981336E-3</v>
      </c>
      <c r="BJ130" s="132">
        <f t="shared" si="136"/>
        <v>3.2599695514616126E-3</v>
      </c>
      <c r="BK130" s="132">
        <f t="shared" si="136"/>
        <v>3.0953879951653176E-3</v>
      </c>
      <c r="BL130" s="132">
        <f t="shared" si="136"/>
        <v>3.2242836673450231E-3</v>
      </c>
      <c r="BM130" s="132">
        <f t="shared" si="136"/>
        <v>3.4426203829251759E-3</v>
      </c>
      <c r="BN130" s="132">
        <f t="shared" si="136"/>
        <v>3.3551244434707182E-3</v>
      </c>
      <c r="BO130" s="132">
        <f t="shared" ref="BO130:BV130" si="137">(BO17*4)/((BN84+BO84)/2)</f>
        <v>3.3182252501210985E-3</v>
      </c>
      <c r="BP130" s="133">
        <f t="shared" si="137"/>
        <v>3.4511063796479765E-3</v>
      </c>
      <c r="BQ130" s="132">
        <f t="shared" si="137"/>
        <v>3.2830544058138379E-3</v>
      </c>
      <c r="BR130" s="132">
        <f t="shared" si="137"/>
        <v>3.2811718462656615E-3</v>
      </c>
      <c r="BS130" s="132">
        <f t="shared" si="137"/>
        <v>3.5450342765108397E-3</v>
      </c>
      <c r="BT130" s="132">
        <f t="shared" si="137"/>
        <v>3.4846872787073291E-3</v>
      </c>
      <c r="BU130" s="132">
        <f t="shared" si="137"/>
        <v>3.5140461064809944E-3</v>
      </c>
      <c r="BV130" s="132">
        <f t="shared" si="137"/>
        <v>3.3387513046770779E-3</v>
      </c>
      <c r="BW130" s="134">
        <v>3.4499999999999999E-3</v>
      </c>
      <c r="BX130" s="134">
        <v>3.4499999999999999E-3</v>
      </c>
      <c r="BY130" s="134">
        <v>3.4099999999999998E-3</v>
      </c>
      <c r="BZ130" s="132">
        <v>3.3500000000000001E-3</v>
      </c>
      <c r="CA130" s="132">
        <v>3.31E-3</v>
      </c>
      <c r="CB130" s="132">
        <v>3.3999999999999998E-3</v>
      </c>
      <c r="CC130" s="310">
        <v>3.5400000000000002E-3</v>
      </c>
      <c r="CD130" s="310">
        <v>3.6440405508592999E-3</v>
      </c>
      <c r="CE130" s="310">
        <v>3.7724704674252053E-3</v>
      </c>
      <c r="CF130" s="314">
        <v>3.4926236281817113E-3</v>
      </c>
      <c r="CH130" s="457"/>
      <c r="CI130" s="457"/>
      <c r="CJ130" s="457"/>
      <c r="CK130" s="457"/>
      <c r="CL130" s="457"/>
      <c r="CM130" s="457"/>
      <c r="CN130" s="457"/>
      <c r="CO130" s="457"/>
      <c r="CP130" s="457"/>
    </row>
    <row r="131" spans="1:95" x14ac:dyDescent="0.2">
      <c r="A131" s="10"/>
      <c r="B131" s="11"/>
      <c r="C131" s="28"/>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3"/>
      <c r="AD131" s="143"/>
      <c r="AE131" s="143"/>
      <c r="AF131" s="143"/>
      <c r="AG131" s="143"/>
      <c r="AH131" s="143"/>
      <c r="AI131" s="143"/>
      <c r="AJ131" s="142"/>
      <c r="AK131" s="143"/>
      <c r="AL131" s="142"/>
      <c r="AM131" s="143"/>
      <c r="AN131" s="142"/>
      <c r="AO131" s="142"/>
      <c r="AP131" s="142"/>
      <c r="AQ131" s="142"/>
      <c r="AR131" s="142"/>
      <c r="AS131" s="144"/>
      <c r="AT131" s="143"/>
      <c r="AU131" s="143"/>
      <c r="AV131" s="142"/>
      <c r="AW131" s="142"/>
      <c r="AX131" s="142"/>
      <c r="AY131" s="142"/>
      <c r="AZ131" s="142"/>
      <c r="BA131" s="142"/>
      <c r="BB131" s="142"/>
      <c r="BC131" s="142"/>
      <c r="BD131" s="142"/>
      <c r="BE131" s="142"/>
      <c r="BF131" s="142"/>
      <c r="BG131" s="142"/>
      <c r="BH131" s="142"/>
      <c r="BI131" s="143"/>
      <c r="BJ131" s="142"/>
      <c r="BK131" s="142"/>
      <c r="BL131" s="142"/>
      <c r="BM131" s="142"/>
      <c r="BN131" s="142"/>
      <c r="BO131" s="142"/>
      <c r="BP131" s="144"/>
      <c r="BQ131" s="142"/>
      <c r="BR131" s="142"/>
      <c r="BS131" s="142"/>
      <c r="BT131" s="142"/>
      <c r="BU131" s="142"/>
      <c r="BV131" s="142"/>
      <c r="BW131" s="143"/>
      <c r="BX131" s="143"/>
      <c r="BY131" s="143"/>
      <c r="BZ131" s="142"/>
      <c r="CA131" s="142"/>
      <c r="CB131" s="142"/>
      <c r="CC131" s="309"/>
      <c r="CD131" s="309"/>
      <c r="CE131" s="309"/>
      <c r="CF131" s="282"/>
      <c r="CH131" s="457"/>
      <c r="CI131" s="457"/>
      <c r="CJ131" s="457"/>
      <c r="CK131" s="457"/>
      <c r="CL131" s="457"/>
      <c r="CM131" s="457"/>
      <c r="CN131" s="457"/>
      <c r="CO131" s="457"/>
      <c r="CP131" s="457"/>
    </row>
    <row r="132" spans="1:95" x14ac:dyDescent="0.2">
      <c r="A132" s="237" t="s">
        <v>130</v>
      </c>
      <c r="B132" s="65"/>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9"/>
      <c r="AD132" s="29"/>
      <c r="AE132" s="29"/>
      <c r="AF132" s="29"/>
      <c r="AG132" s="29"/>
      <c r="AH132" s="29"/>
      <c r="AI132" s="29"/>
      <c r="AJ132" s="28"/>
      <c r="AK132" s="7"/>
      <c r="AL132" s="28"/>
      <c r="AM132" s="29"/>
      <c r="AN132" s="28"/>
      <c r="AO132" s="28"/>
      <c r="AP132" s="28"/>
      <c r="AQ132" s="28"/>
      <c r="AR132" s="28"/>
      <c r="AS132" s="7"/>
      <c r="AT132" s="29"/>
      <c r="AU132" s="29"/>
      <c r="AV132" s="28"/>
      <c r="AW132" s="28"/>
      <c r="AX132" s="28"/>
      <c r="AY132" s="28"/>
      <c r="AZ132" s="28"/>
      <c r="BA132" s="28"/>
      <c r="BB132" s="28"/>
      <c r="BC132" s="28"/>
      <c r="BD132" s="28"/>
      <c r="BE132" s="28"/>
      <c r="BF132" s="28"/>
      <c r="BG132" s="28"/>
      <c r="BH132" s="28"/>
      <c r="BI132" s="29"/>
      <c r="BJ132" s="28"/>
      <c r="BK132" s="28"/>
      <c r="BL132" s="28"/>
      <c r="BM132" s="28"/>
      <c r="BN132" s="28"/>
      <c r="BO132" s="28"/>
      <c r="BP132" s="7"/>
      <c r="BQ132" s="28"/>
      <c r="BR132" s="7"/>
      <c r="BS132" s="28"/>
      <c r="BT132" s="28"/>
      <c r="BU132" s="28"/>
      <c r="BV132" s="28"/>
      <c r="BW132" s="29"/>
      <c r="BX132" s="29"/>
      <c r="BY132" s="29"/>
      <c r="BZ132" s="28"/>
      <c r="CA132" s="28"/>
      <c r="CB132" s="28"/>
      <c r="CC132" s="291"/>
      <c r="CD132" s="291"/>
      <c r="CE132" s="291"/>
      <c r="CF132" s="268"/>
      <c r="CH132" s="457"/>
      <c r="CI132" s="457"/>
      <c r="CJ132" s="457"/>
      <c r="CK132" s="457"/>
      <c r="CL132" s="457"/>
      <c r="CM132" s="457"/>
      <c r="CN132" s="457"/>
      <c r="CO132" s="457"/>
      <c r="CP132" s="457"/>
    </row>
    <row r="133" spans="1:95" x14ac:dyDescent="0.2">
      <c r="A133" s="35" t="s">
        <v>122</v>
      </c>
      <c r="B133" s="36"/>
      <c r="C133" s="37">
        <v>58</v>
      </c>
      <c r="D133" s="37">
        <v>61</v>
      </c>
      <c r="E133" s="37">
        <v>70</v>
      </c>
      <c r="F133" s="37">
        <v>65</v>
      </c>
      <c r="G133" s="37">
        <v>57</v>
      </c>
      <c r="H133" s="37">
        <v>58</v>
      </c>
      <c r="I133" s="37">
        <v>58</v>
      </c>
      <c r="J133" s="37">
        <v>53</v>
      </c>
      <c r="K133" s="37">
        <v>53</v>
      </c>
      <c r="L133" s="37">
        <v>52</v>
      </c>
      <c r="M133" s="37">
        <v>54</v>
      </c>
      <c r="N133" s="37">
        <v>61</v>
      </c>
      <c r="O133" s="37">
        <v>75</v>
      </c>
      <c r="P133" s="37">
        <v>74</v>
      </c>
      <c r="Q133" s="37">
        <v>72</v>
      </c>
      <c r="R133" s="37">
        <v>73</v>
      </c>
      <c r="S133" s="37">
        <v>77</v>
      </c>
      <c r="T133" s="37">
        <v>93</v>
      </c>
      <c r="U133" s="37">
        <v>96</v>
      </c>
      <c r="V133" s="37">
        <v>94</v>
      </c>
      <c r="W133" s="37">
        <v>101</v>
      </c>
      <c r="X133" s="37">
        <v>130</v>
      </c>
      <c r="Y133" s="37">
        <v>143</v>
      </c>
      <c r="Z133" s="37">
        <v>157</v>
      </c>
      <c r="AA133" s="37">
        <v>161</v>
      </c>
      <c r="AB133" s="37">
        <v>173</v>
      </c>
      <c r="AC133" s="38">
        <v>184</v>
      </c>
      <c r="AD133" s="38">
        <v>210</v>
      </c>
      <c r="AE133" s="38">
        <v>207</v>
      </c>
      <c r="AF133" s="38">
        <v>193</v>
      </c>
      <c r="AG133" s="38">
        <v>191</v>
      </c>
      <c r="AH133" s="38">
        <v>192</v>
      </c>
      <c r="AI133" s="38">
        <v>179</v>
      </c>
      <c r="AJ133" s="37">
        <v>178</v>
      </c>
      <c r="AK133" s="39">
        <v>184</v>
      </c>
      <c r="AL133" s="37">
        <v>194</v>
      </c>
      <c r="AM133" s="38">
        <v>215</v>
      </c>
      <c r="AN133" s="37">
        <v>228</v>
      </c>
      <c r="AO133" s="37">
        <v>243</v>
      </c>
      <c r="AP133" s="37">
        <v>244</v>
      </c>
      <c r="AQ133" s="37">
        <v>249</v>
      </c>
      <c r="AR133" s="37">
        <v>259</v>
      </c>
      <c r="AS133" s="39">
        <v>266</v>
      </c>
      <c r="AT133" s="38">
        <v>260</v>
      </c>
      <c r="AU133" s="38">
        <v>265</v>
      </c>
      <c r="AV133" s="37">
        <v>269</v>
      </c>
      <c r="AW133" s="37">
        <v>281</v>
      </c>
      <c r="AX133" s="37">
        <v>262</v>
      </c>
      <c r="AY133" s="37">
        <v>276</v>
      </c>
      <c r="AZ133" s="37">
        <v>265</v>
      </c>
      <c r="BA133" s="37">
        <v>266</v>
      </c>
      <c r="BB133" s="37">
        <v>264</v>
      </c>
      <c r="BC133" s="37">
        <v>282</v>
      </c>
      <c r="BD133" s="37">
        <v>281</v>
      </c>
      <c r="BE133" s="37">
        <v>290</v>
      </c>
      <c r="BF133" s="37">
        <v>296</v>
      </c>
      <c r="BG133" s="37">
        <v>320</v>
      </c>
      <c r="BH133" s="37">
        <v>324</v>
      </c>
      <c r="BI133" s="38">
        <v>340</v>
      </c>
      <c r="BJ133" s="37">
        <v>334</v>
      </c>
      <c r="BK133" s="37">
        <v>330</v>
      </c>
      <c r="BL133" s="37">
        <v>332</v>
      </c>
      <c r="BM133" s="37">
        <v>355</v>
      </c>
      <c r="BN133" s="37">
        <v>365</v>
      </c>
      <c r="BO133" s="37">
        <v>374</v>
      </c>
      <c r="BP133" s="39">
        <v>379</v>
      </c>
      <c r="BQ133" s="37">
        <v>405</v>
      </c>
      <c r="BR133" s="39">
        <v>390</v>
      </c>
      <c r="BS133" s="37">
        <v>395</v>
      </c>
      <c r="BT133" s="37">
        <v>407</v>
      </c>
      <c r="BU133" s="37">
        <v>416</v>
      </c>
      <c r="BV133" s="37">
        <v>422</v>
      </c>
      <c r="BW133" s="38">
        <v>419</v>
      </c>
      <c r="BX133" s="38">
        <v>417</v>
      </c>
      <c r="BY133" s="38">
        <v>443</v>
      </c>
      <c r="BZ133" s="37">
        <v>445</v>
      </c>
      <c r="CA133" s="37">
        <v>460</v>
      </c>
      <c r="CB133" s="37">
        <v>472</v>
      </c>
      <c r="CC133" s="292">
        <v>502</v>
      </c>
      <c r="CD133" s="292">
        <v>510</v>
      </c>
      <c r="CE133" s="292">
        <v>526</v>
      </c>
      <c r="CF133" s="326">
        <v>564</v>
      </c>
      <c r="CH133" s="457"/>
      <c r="CI133" s="457"/>
      <c r="CJ133" s="457"/>
      <c r="CK133" s="457"/>
      <c r="CL133" s="457"/>
      <c r="CM133" s="457"/>
      <c r="CN133" s="457"/>
      <c r="CO133" s="457"/>
      <c r="CP133" s="457"/>
    </row>
    <row r="134" spans="1:95" x14ac:dyDescent="0.2">
      <c r="A134" s="43" t="s">
        <v>123</v>
      </c>
      <c r="B134" s="44"/>
      <c r="C134" s="45">
        <v>57</v>
      </c>
      <c r="D134" s="45">
        <v>57</v>
      </c>
      <c r="E134" s="45">
        <v>78</v>
      </c>
      <c r="F134" s="45">
        <v>65</v>
      </c>
      <c r="G134" s="45">
        <v>65</v>
      </c>
      <c r="H134" s="45">
        <v>62</v>
      </c>
      <c r="I134" s="45">
        <v>61</v>
      </c>
      <c r="J134" s="45">
        <v>58</v>
      </c>
      <c r="K134" s="45">
        <v>53</v>
      </c>
      <c r="L134" s="45">
        <v>51</v>
      </c>
      <c r="M134" s="45">
        <v>56</v>
      </c>
      <c r="N134" s="45">
        <v>61</v>
      </c>
      <c r="O134" s="45">
        <v>69</v>
      </c>
      <c r="P134" s="45">
        <v>73</v>
      </c>
      <c r="Q134" s="45">
        <v>74</v>
      </c>
      <c r="R134" s="45">
        <v>77</v>
      </c>
      <c r="S134" s="45">
        <v>82</v>
      </c>
      <c r="T134" s="45">
        <v>92</v>
      </c>
      <c r="U134" s="45">
        <v>97</v>
      </c>
      <c r="V134" s="45">
        <v>103</v>
      </c>
      <c r="W134" s="45">
        <v>119</v>
      </c>
      <c r="X134" s="45">
        <v>123</v>
      </c>
      <c r="Y134" s="45">
        <v>145</v>
      </c>
      <c r="Z134" s="45">
        <v>157</v>
      </c>
      <c r="AA134" s="45">
        <v>161</v>
      </c>
      <c r="AB134" s="45">
        <v>170</v>
      </c>
      <c r="AC134" s="46">
        <v>186</v>
      </c>
      <c r="AD134" s="46">
        <v>202</v>
      </c>
      <c r="AE134" s="46">
        <v>202</v>
      </c>
      <c r="AF134" s="46">
        <v>200</v>
      </c>
      <c r="AG134" s="46">
        <v>199</v>
      </c>
      <c r="AH134" s="46">
        <v>188</v>
      </c>
      <c r="AI134" s="46">
        <v>180</v>
      </c>
      <c r="AJ134" s="45">
        <v>177</v>
      </c>
      <c r="AK134" s="47">
        <v>186</v>
      </c>
      <c r="AL134" s="45">
        <v>184</v>
      </c>
      <c r="AM134" s="46">
        <v>205</v>
      </c>
      <c r="AN134" s="45">
        <v>222</v>
      </c>
      <c r="AO134" s="45">
        <v>236</v>
      </c>
      <c r="AP134" s="45">
        <v>244</v>
      </c>
      <c r="AQ134" s="45">
        <f t="shared" ref="AQ134:AW134" si="138">AVERAGE(AP133:AQ133)</f>
        <v>246.5</v>
      </c>
      <c r="AR134" s="45">
        <f t="shared" si="138"/>
        <v>254</v>
      </c>
      <c r="AS134" s="47">
        <f t="shared" si="138"/>
        <v>262.5</v>
      </c>
      <c r="AT134" s="46">
        <f t="shared" si="138"/>
        <v>263</v>
      </c>
      <c r="AU134" s="46">
        <f t="shared" si="138"/>
        <v>262.5</v>
      </c>
      <c r="AV134" s="45">
        <f t="shared" si="138"/>
        <v>267</v>
      </c>
      <c r="AW134" s="45">
        <f t="shared" si="138"/>
        <v>275</v>
      </c>
      <c r="AX134" s="45">
        <f>+(AW133+271)/2</f>
        <v>276</v>
      </c>
      <c r="AY134" s="45">
        <f t="shared" ref="AY134:BR134" si="139">AVERAGE(AX133:AY133)</f>
        <v>269</v>
      </c>
      <c r="AZ134" s="45">
        <f t="shared" si="139"/>
        <v>270.5</v>
      </c>
      <c r="BA134" s="45">
        <f t="shared" si="139"/>
        <v>265.5</v>
      </c>
      <c r="BB134" s="45">
        <f t="shared" si="139"/>
        <v>265</v>
      </c>
      <c r="BC134" s="45">
        <f t="shared" si="139"/>
        <v>273</v>
      </c>
      <c r="BD134" s="45">
        <f t="shared" si="139"/>
        <v>281.5</v>
      </c>
      <c r="BE134" s="45">
        <f t="shared" si="139"/>
        <v>285.5</v>
      </c>
      <c r="BF134" s="45">
        <f t="shared" si="139"/>
        <v>293</v>
      </c>
      <c r="BG134" s="45">
        <f t="shared" si="139"/>
        <v>308</v>
      </c>
      <c r="BH134" s="45">
        <f t="shared" si="139"/>
        <v>322</v>
      </c>
      <c r="BI134" s="47">
        <f t="shared" si="139"/>
        <v>332</v>
      </c>
      <c r="BJ134" s="45">
        <f t="shared" si="139"/>
        <v>337</v>
      </c>
      <c r="BK134" s="45">
        <f t="shared" si="139"/>
        <v>332</v>
      </c>
      <c r="BL134" s="45">
        <f t="shared" si="139"/>
        <v>331</v>
      </c>
      <c r="BM134" s="45">
        <f t="shared" si="139"/>
        <v>343.5</v>
      </c>
      <c r="BN134" s="45">
        <f t="shared" si="139"/>
        <v>360</v>
      </c>
      <c r="BO134" s="45">
        <f t="shared" si="139"/>
        <v>369.5</v>
      </c>
      <c r="BP134" s="47">
        <f t="shared" si="139"/>
        <v>376.5</v>
      </c>
      <c r="BQ134" s="45">
        <f t="shared" si="139"/>
        <v>392</v>
      </c>
      <c r="BR134" s="45">
        <f t="shared" si="139"/>
        <v>397.5</v>
      </c>
      <c r="BS134" s="45">
        <v>393</v>
      </c>
      <c r="BT134" s="45">
        <v>401</v>
      </c>
      <c r="BU134" s="45">
        <v>412</v>
      </c>
      <c r="BV134" s="45">
        <v>419</v>
      </c>
      <c r="BW134" s="46">
        <v>421</v>
      </c>
      <c r="BX134" s="46">
        <v>418</v>
      </c>
      <c r="BY134" s="46">
        <v>430</v>
      </c>
      <c r="BZ134" s="45">
        <v>444</v>
      </c>
      <c r="CA134" s="45">
        <v>452</v>
      </c>
      <c r="CB134" s="45">
        <v>466</v>
      </c>
      <c r="CC134" s="293">
        <v>487</v>
      </c>
      <c r="CD134" s="293">
        <v>506</v>
      </c>
      <c r="CE134" s="293">
        <v>518</v>
      </c>
      <c r="CF134" s="327">
        <v>545</v>
      </c>
      <c r="CH134" s="457"/>
      <c r="CI134" s="457"/>
      <c r="CJ134" s="457"/>
      <c r="CK134" s="457"/>
      <c r="CL134" s="457"/>
      <c r="CM134" s="457"/>
      <c r="CN134" s="457"/>
      <c r="CO134" s="457"/>
      <c r="CP134" s="457"/>
    </row>
    <row r="135" spans="1:95" x14ac:dyDescent="0.2">
      <c r="A135" s="43" t="s">
        <v>86</v>
      </c>
      <c r="B135" s="44"/>
      <c r="C135" s="93">
        <f t="shared" ref="C135:AH135" si="140">+C31*4/C134</f>
        <v>1.5157894736842106</v>
      </c>
      <c r="D135" s="93">
        <f t="shared" si="140"/>
        <v>1.1578947368421053</v>
      </c>
      <c r="E135" s="93">
        <f t="shared" si="140"/>
        <v>1.1076923076923075</v>
      </c>
      <c r="F135" s="93">
        <f t="shared" si="140"/>
        <v>2.1661538461538465</v>
      </c>
      <c r="G135" s="93">
        <f t="shared" si="140"/>
        <v>1.8276923076923077</v>
      </c>
      <c r="H135" s="93">
        <f t="shared" si="140"/>
        <v>1.5870967741935484</v>
      </c>
      <c r="I135" s="93">
        <f t="shared" si="140"/>
        <v>1.980327868852459</v>
      </c>
      <c r="J135" s="93">
        <f t="shared" si="140"/>
        <v>2.6275862068965519</v>
      </c>
      <c r="K135" s="93">
        <f t="shared" si="140"/>
        <v>2.1832452830188678</v>
      </c>
      <c r="L135" s="93">
        <f t="shared" si="140"/>
        <v>2.6269803921568626</v>
      </c>
      <c r="M135" s="93">
        <f t="shared" si="140"/>
        <v>2.9078571428571425</v>
      </c>
      <c r="N135" s="93">
        <f t="shared" si="140"/>
        <v>3.0432786885245902</v>
      </c>
      <c r="O135" s="93">
        <f t="shared" si="140"/>
        <v>3.7918840579710142</v>
      </c>
      <c r="P135" s="93">
        <f t="shared" si="140"/>
        <v>2.7039999999999997</v>
      </c>
      <c r="Q135" s="93">
        <f t="shared" si="140"/>
        <v>2.179945945945946</v>
      </c>
      <c r="R135" s="93">
        <f t="shared" si="140"/>
        <v>2.8430649350649349</v>
      </c>
      <c r="S135" s="93">
        <f t="shared" si="140"/>
        <v>2.9658536585365853</v>
      </c>
      <c r="T135" s="93">
        <f t="shared" si="140"/>
        <v>2.8642608695652174</v>
      </c>
      <c r="U135" s="93">
        <f t="shared" si="140"/>
        <v>3.0469278350515467</v>
      </c>
      <c r="V135" s="93">
        <f t="shared" si="140"/>
        <v>3.2344854368932041</v>
      </c>
      <c r="W135" s="93">
        <f t="shared" si="140"/>
        <v>4.1495798319327726</v>
      </c>
      <c r="X135" s="93">
        <f t="shared" si="140"/>
        <v>4.0715447154471542</v>
      </c>
      <c r="Y135" s="93">
        <f t="shared" si="140"/>
        <v>2.3877241379310341</v>
      </c>
      <c r="Z135" s="93">
        <f t="shared" si="140"/>
        <v>2.9971464968152866</v>
      </c>
      <c r="AA135" s="93">
        <f t="shared" si="140"/>
        <v>3.3621118012422357</v>
      </c>
      <c r="AB135" s="93">
        <f t="shared" si="140"/>
        <v>3.2594117647058818</v>
      </c>
      <c r="AC135" s="95">
        <f t="shared" si="140"/>
        <v>2.8066656989247312</v>
      </c>
      <c r="AD135" s="95">
        <f t="shared" si="140"/>
        <v>2.9725475247524753</v>
      </c>
      <c r="AE135" s="95">
        <f t="shared" si="140"/>
        <v>2.6999999801980197</v>
      </c>
      <c r="AF135" s="95">
        <f t="shared" si="140"/>
        <v>2.5940524000000007</v>
      </c>
      <c r="AG135" s="95">
        <f t="shared" si="140"/>
        <v>2.3425488884422108</v>
      </c>
      <c r="AH135" s="95">
        <f t="shared" si="140"/>
        <v>2.6279300170212765</v>
      </c>
      <c r="AI135" s="95">
        <f t="shared" ref="AI135:BN135" si="141">+AI31*4/AI134</f>
        <v>2.3929423777777776</v>
      </c>
      <c r="AJ135" s="93">
        <f t="shared" si="141"/>
        <v>2.9734948185310737</v>
      </c>
      <c r="AK135" s="95">
        <f t="shared" si="141"/>
        <v>2.7218628627956991</v>
      </c>
      <c r="AL135" s="93">
        <f t="shared" si="141"/>
        <v>3.1099320247826086</v>
      </c>
      <c r="AM135" s="95">
        <f t="shared" si="141"/>
        <v>2.975609756097561</v>
      </c>
      <c r="AN135" s="93">
        <f t="shared" si="141"/>
        <v>2.8623824504504505</v>
      </c>
      <c r="AO135" s="93">
        <f t="shared" si="141"/>
        <v>2.3093377372881356</v>
      </c>
      <c r="AP135" s="93">
        <f t="shared" si="141"/>
        <v>2.7072667947540983</v>
      </c>
      <c r="AQ135" s="93">
        <f t="shared" si="141"/>
        <v>2.9218823529411759</v>
      </c>
      <c r="AR135" s="93">
        <f t="shared" si="141"/>
        <v>2.6584409448818898</v>
      </c>
      <c r="AS135" s="94">
        <f t="shared" si="141"/>
        <v>2.7274360376380953</v>
      </c>
      <c r="AT135" s="95">
        <f t="shared" si="141"/>
        <v>2.3471973993916349</v>
      </c>
      <c r="AU135" s="95">
        <f t="shared" si="141"/>
        <v>2.4547047619047619</v>
      </c>
      <c r="AV135" s="93">
        <f t="shared" si="141"/>
        <v>2.0756554307116106</v>
      </c>
      <c r="AW135" s="93">
        <f t="shared" si="141"/>
        <v>1.7805836142545455</v>
      </c>
      <c r="AX135" s="93">
        <f t="shared" si="141"/>
        <v>1.8636368328985506</v>
      </c>
      <c r="AY135" s="93">
        <f t="shared" si="141"/>
        <v>2.1575167286245351</v>
      </c>
      <c r="AZ135" s="93">
        <f t="shared" si="141"/>
        <v>1.9597042513863216</v>
      </c>
      <c r="BA135" s="93">
        <f t="shared" si="141"/>
        <v>2.1817497551789078</v>
      </c>
      <c r="BB135" s="93">
        <f t="shared" si="141"/>
        <v>2.3822177660377362</v>
      </c>
      <c r="BC135" s="93">
        <f t="shared" si="141"/>
        <v>2.4643982797069599</v>
      </c>
      <c r="BD135" s="93">
        <f t="shared" si="141"/>
        <v>2.2775801861456482</v>
      </c>
      <c r="BE135" s="93">
        <f t="shared" si="141"/>
        <v>2.2645694935201401</v>
      </c>
      <c r="BF135" s="93">
        <f t="shared" si="141"/>
        <v>2.5657216369965874</v>
      </c>
      <c r="BG135" s="93">
        <f t="shared" si="141"/>
        <v>2.8507792207792209</v>
      </c>
      <c r="BH135" s="93">
        <f t="shared" si="141"/>
        <v>2.8045465838509318</v>
      </c>
      <c r="BI135" s="94">
        <f t="shared" si="141"/>
        <v>2.4255180722891563</v>
      </c>
      <c r="BJ135" s="93">
        <f t="shared" si="141"/>
        <v>2.9727715133531158</v>
      </c>
      <c r="BK135" s="93">
        <f t="shared" si="141"/>
        <v>2.700070111686748</v>
      </c>
      <c r="BL135" s="93">
        <f t="shared" si="141"/>
        <v>2.6662536352870112</v>
      </c>
      <c r="BM135" s="93">
        <f t="shared" si="141"/>
        <v>2.5465848699854443</v>
      </c>
      <c r="BN135" s="93">
        <f t="shared" si="141"/>
        <v>2.724429042000001</v>
      </c>
      <c r="BO135" s="93">
        <f t="shared" ref="BO135:CE135" si="142">+BO31*4/BO134</f>
        <v>2.6469869990798389</v>
      </c>
      <c r="BP135" s="94">
        <f t="shared" si="142"/>
        <v>2.4814063164940254</v>
      </c>
      <c r="BQ135" s="93">
        <f t="shared" si="142"/>
        <v>2.3130327165306119</v>
      </c>
      <c r="BR135" s="93">
        <f t="shared" si="142"/>
        <v>2.7249540926792464</v>
      </c>
      <c r="BS135" s="93">
        <f t="shared" si="142"/>
        <v>2.7614514384732836</v>
      </c>
      <c r="BT135" s="93">
        <f t="shared" si="142"/>
        <v>2.4307518408977558</v>
      </c>
      <c r="BU135" s="93">
        <f t="shared" si="142"/>
        <v>2.5931086174757279</v>
      </c>
      <c r="BV135" s="93">
        <f t="shared" si="142"/>
        <v>2.548086802004776</v>
      </c>
      <c r="BW135" s="95">
        <f t="shared" si="142"/>
        <v>2.5430146168425289</v>
      </c>
      <c r="BX135" s="95">
        <f t="shared" si="142"/>
        <v>2.7186509447060034</v>
      </c>
      <c r="BY135" s="95">
        <f t="shared" si="142"/>
        <v>2.9118994512890715</v>
      </c>
      <c r="BZ135" s="93">
        <f t="shared" si="142"/>
        <v>2.960982215062804</v>
      </c>
      <c r="CA135" s="93">
        <f t="shared" si="142"/>
        <v>4.793405387133495</v>
      </c>
      <c r="CB135" s="93">
        <f t="shared" si="142"/>
        <v>4.5119635468930852</v>
      </c>
      <c r="CC135" s="299">
        <f t="shared" si="142"/>
        <v>4.726078688573951</v>
      </c>
      <c r="CD135" s="299">
        <f t="shared" si="142"/>
        <v>5.5816713594805396</v>
      </c>
      <c r="CE135" s="299">
        <f t="shared" si="142"/>
        <v>7.3880083401727585</v>
      </c>
      <c r="CF135" s="279">
        <f t="shared" ref="CF135" si="143">+CF31*4/CF134</f>
        <v>5.5307676007596349</v>
      </c>
      <c r="CH135" s="457"/>
      <c r="CI135" s="457"/>
      <c r="CJ135" s="457"/>
      <c r="CK135" s="457"/>
      <c r="CL135" s="457"/>
      <c r="CM135" s="457"/>
      <c r="CN135" s="457"/>
      <c r="CO135" s="457"/>
      <c r="CP135" s="457"/>
    </row>
    <row r="136" spans="1:95" x14ac:dyDescent="0.2">
      <c r="A136" s="43" t="s">
        <v>87</v>
      </c>
      <c r="B136" s="44"/>
      <c r="C136" s="93">
        <f t="shared" ref="C136:AH136" si="144">-C37*4/C134</f>
        <v>1.5838105263157893</v>
      </c>
      <c r="D136" s="93">
        <f t="shared" si="144"/>
        <v>1.3096842105263158</v>
      </c>
      <c r="E136" s="93">
        <f t="shared" si="144"/>
        <v>1.0573846153846154</v>
      </c>
      <c r="F136" s="93">
        <f t="shared" si="144"/>
        <v>1.4557538461538462</v>
      </c>
      <c r="G136" s="93">
        <f t="shared" si="144"/>
        <v>1.6771076923076924</v>
      </c>
      <c r="H136" s="93">
        <f t="shared" si="144"/>
        <v>1.5416774193548388</v>
      </c>
      <c r="I136" s="93">
        <f t="shared" si="144"/>
        <v>1.4434754098360654</v>
      </c>
      <c r="J136" s="93">
        <f t="shared" si="144"/>
        <v>1.5491034482758619</v>
      </c>
      <c r="K136" s="93">
        <f t="shared" si="144"/>
        <v>1.7250566037735848</v>
      </c>
      <c r="L136" s="93">
        <f t="shared" si="144"/>
        <v>1.6677647058823533</v>
      </c>
      <c r="M136" s="93">
        <f t="shared" si="144"/>
        <v>1.4852857142857141</v>
      </c>
      <c r="N136" s="93">
        <f t="shared" si="144"/>
        <v>1.6886557377049183</v>
      </c>
      <c r="O136" s="93">
        <f t="shared" si="144"/>
        <v>1.6043478260869564</v>
      </c>
      <c r="P136" s="93">
        <f t="shared" si="144"/>
        <v>1.3797808219178083</v>
      </c>
      <c r="Q136" s="93">
        <f t="shared" si="144"/>
        <v>1.2762162162162163</v>
      </c>
      <c r="R136" s="93">
        <f t="shared" si="144"/>
        <v>1.6733506493506496</v>
      </c>
      <c r="S136" s="93">
        <f t="shared" si="144"/>
        <v>1.6212195121951218</v>
      </c>
      <c r="T136" s="93">
        <f t="shared" si="144"/>
        <v>1.506</v>
      </c>
      <c r="U136" s="93">
        <f t="shared" si="144"/>
        <v>1.2630927835051544</v>
      </c>
      <c r="V136" s="93">
        <f t="shared" si="144"/>
        <v>1.504116504854369</v>
      </c>
      <c r="W136" s="93">
        <f t="shared" si="144"/>
        <v>1.5977478991596639</v>
      </c>
      <c r="X136" s="93">
        <f t="shared" si="144"/>
        <v>2.0527479674796747</v>
      </c>
      <c r="Y136" s="93">
        <f t="shared" si="144"/>
        <v>1.1073379310344829</v>
      </c>
      <c r="Z136" s="93">
        <f t="shared" si="144"/>
        <v>1.4822929936305731</v>
      </c>
      <c r="AA136" s="93">
        <f t="shared" si="144"/>
        <v>1.4467500084472051</v>
      </c>
      <c r="AB136" s="93">
        <f t="shared" si="144"/>
        <v>1.5256266108235292</v>
      </c>
      <c r="AC136" s="95">
        <f t="shared" si="144"/>
        <v>1.1767495720645162</v>
      </c>
      <c r="AD136" s="95">
        <f t="shared" si="144"/>
        <v>1.3630073295049505</v>
      </c>
      <c r="AE136" s="95">
        <f t="shared" si="144"/>
        <v>1.3373657386138615</v>
      </c>
      <c r="AF136" s="95">
        <f t="shared" si="144"/>
        <v>1.4078131091999999</v>
      </c>
      <c r="AG136" s="95">
        <f t="shared" si="144"/>
        <v>1.1096953447236182</v>
      </c>
      <c r="AH136" s="95">
        <f t="shared" si="144"/>
        <v>1.5633097205000002</v>
      </c>
      <c r="AI136" s="95">
        <f t="shared" ref="AI136:BN136" si="145">-AI37*4/AI134</f>
        <v>1.2063562979073998</v>
      </c>
      <c r="AJ136" s="93">
        <f t="shared" si="145"/>
        <v>1.3452096879661017</v>
      </c>
      <c r="AK136" s="95">
        <f t="shared" si="145"/>
        <v>1.0736839718279569</v>
      </c>
      <c r="AL136" s="93">
        <f t="shared" si="145"/>
        <v>1.4161883180434782</v>
      </c>
      <c r="AM136" s="95">
        <f t="shared" si="145"/>
        <v>1.2373540325853658</v>
      </c>
      <c r="AN136" s="93">
        <f t="shared" si="145"/>
        <v>1.3753618830630632</v>
      </c>
      <c r="AO136" s="93">
        <f t="shared" si="145"/>
        <v>1.0609815920187626</v>
      </c>
      <c r="AP136" s="93">
        <f t="shared" si="145"/>
        <v>1.3148902060655738</v>
      </c>
      <c r="AQ136" s="93">
        <f t="shared" si="145"/>
        <v>1.1990106609330629</v>
      </c>
      <c r="AR136" s="93">
        <f t="shared" si="145"/>
        <v>1.486847991968504</v>
      </c>
      <c r="AS136" s="94">
        <f t="shared" si="145"/>
        <v>1.1609234777904762</v>
      </c>
      <c r="AT136" s="95">
        <f t="shared" si="145"/>
        <v>1.3996429536121673</v>
      </c>
      <c r="AU136" s="95">
        <f t="shared" si="145"/>
        <v>1.354223558095238</v>
      </c>
      <c r="AV136" s="93">
        <f t="shared" si="145"/>
        <v>1.3473618504012881</v>
      </c>
      <c r="AW136" s="93">
        <f t="shared" si="145"/>
        <v>1.1606703271065455</v>
      </c>
      <c r="AX136" s="93">
        <f t="shared" si="145"/>
        <v>1.3199784114039854</v>
      </c>
      <c r="AY136" s="93">
        <f t="shared" si="145"/>
        <v>1.3616356877323419</v>
      </c>
      <c r="AZ136" s="93">
        <f t="shared" si="145"/>
        <v>1.4286136783733827</v>
      </c>
      <c r="BA136" s="93">
        <f t="shared" si="145"/>
        <v>1.0871563088512242</v>
      </c>
      <c r="BB136" s="93">
        <f t="shared" si="145"/>
        <v>1.3977358490566039</v>
      </c>
      <c r="BC136" s="93">
        <f t="shared" si="145"/>
        <v>1.35003663003663</v>
      </c>
      <c r="BD136" s="93">
        <f t="shared" si="145"/>
        <v>1.3253285968028419</v>
      </c>
      <c r="BE136" s="93">
        <f t="shared" si="145"/>
        <v>1.2687915936952714</v>
      </c>
      <c r="BF136" s="93">
        <f t="shared" si="145"/>
        <v>1.4576109215017063</v>
      </c>
      <c r="BG136" s="93">
        <f t="shared" si="145"/>
        <v>1.3553246753246753</v>
      </c>
      <c r="BH136" s="93">
        <f t="shared" si="145"/>
        <v>1.2901863354037266</v>
      </c>
      <c r="BI136" s="94">
        <f t="shared" si="145"/>
        <v>1.1191566265060242</v>
      </c>
      <c r="BJ136" s="93">
        <f t="shared" si="145"/>
        <v>1.3044510385756678</v>
      </c>
      <c r="BK136" s="93">
        <f t="shared" si="145"/>
        <v>1.3180722891566266</v>
      </c>
      <c r="BL136" s="93">
        <f t="shared" si="145"/>
        <v>1.3206042296072509</v>
      </c>
      <c r="BM136" s="93">
        <f t="shared" si="145"/>
        <v>1.1218631732168847</v>
      </c>
      <c r="BN136" s="93">
        <f t="shared" si="145"/>
        <v>1.4244444444444444</v>
      </c>
      <c r="BO136" s="93">
        <f t="shared" ref="BO136:BU136" si="146">-BO37*4/BO134</f>
        <v>1.3434370771312585</v>
      </c>
      <c r="BP136" s="94">
        <f t="shared" si="146"/>
        <v>1.3865604249667993</v>
      </c>
      <c r="BQ136" s="93">
        <f t="shared" si="146"/>
        <v>1.2548469387755101</v>
      </c>
      <c r="BR136" s="93">
        <f t="shared" si="146"/>
        <v>1.5824905660377357</v>
      </c>
      <c r="BS136" s="93">
        <f t="shared" si="146"/>
        <v>1.5486615776081425</v>
      </c>
      <c r="BT136" s="93">
        <f t="shared" si="146"/>
        <v>1.526783042394015</v>
      </c>
      <c r="BU136" s="93">
        <f t="shared" si="146"/>
        <v>1.3063704885566856</v>
      </c>
      <c r="BV136" s="93">
        <f>-(BV37+35)*4/BV134</f>
        <v>1.4752655992931381</v>
      </c>
      <c r="BW136" s="95">
        <f t="shared" ref="BW136:CE136" si="147">-(BW37)*4/BW134</f>
        <v>1.5604886070487698</v>
      </c>
      <c r="BX136" s="95">
        <f t="shared" si="147"/>
        <v>1.5865676700806977</v>
      </c>
      <c r="BY136" s="95">
        <f t="shared" si="147"/>
        <v>1.3805543685674158</v>
      </c>
      <c r="BZ136" s="93">
        <f t="shared" si="147"/>
        <v>1.6853581375687692</v>
      </c>
      <c r="CA136" s="93">
        <f t="shared" si="147"/>
        <v>1.5830966223118574</v>
      </c>
      <c r="CB136" s="93">
        <f t="shared" si="147"/>
        <v>1.5913049691328001</v>
      </c>
      <c r="CC136" s="299">
        <f t="shared" si="147"/>
        <v>1.4553527953013548</v>
      </c>
      <c r="CD136" s="299">
        <f t="shared" si="147"/>
        <v>1.7480371393359875</v>
      </c>
      <c r="CE136" s="299">
        <f t="shared" si="147"/>
        <v>1.5632453965038342</v>
      </c>
      <c r="CF136" s="279">
        <f t="shared" ref="CF136" si="148">-(CF37)*4/CF134</f>
        <v>1.5879436485948895</v>
      </c>
      <c r="CH136" s="457"/>
      <c r="CI136" s="457"/>
      <c r="CJ136" s="457"/>
      <c r="CK136" s="457"/>
      <c r="CL136" s="457"/>
      <c r="CM136" s="457"/>
      <c r="CN136" s="457"/>
      <c r="CO136" s="457"/>
      <c r="CP136" s="457"/>
    </row>
    <row r="137" spans="1:95" x14ac:dyDescent="0.2">
      <c r="A137" s="10" t="s">
        <v>88</v>
      </c>
      <c r="B137" s="11"/>
      <c r="C137" s="157">
        <f t="shared" ref="C137:AH137" si="149">+C43*4/C134</f>
        <v>-6.8021052631578732E-2</v>
      </c>
      <c r="D137" s="157">
        <f t="shared" si="149"/>
        <v>-0.15178947368421056</v>
      </c>
      <c r="E137" s="157">
        <f t="shared" si="149"/>
        <v>5.0307692307692213E-2</v>
      </c>
      <c r="F137" s="157">
        <f t="shared" si="149"/>
        <v>0.71040000000000025</v>
      </c>
      <c r="G137" s="157">
        <f t="shared" si="149"/>
        <v>0.15058461538461534</v>
      </c>
      <c r="H137" s="157">
        <f t="shared" si="149"/>
        <v>3.8967741935483913E-2</v>
      </c>
      <c r="I137" s="157">
        <f t="shared" si="149"/>
        <v>0.5434098360655738</v>
      </c>
      <c r="J137" s="157">
        <f t="shared" si="149"/>
        <v>1.071586206896552</v>
      </c>
      <c r="K137" s="157">
        <f t="shared" si="149"/>
        <v>0.45818867924528311</v>
      </c>
      <c r="L137" s="157">
        <f t="shared" si="149"/>
        <v>0.95921568627450959</v>
      </c>
      <c r="M137" s="157">
        <f t="shared" si="149"/>
        <v>1.4225714285714284</v>
      </c>
      <c r="N137" s="157">
        <f t="shared" si="149"/>
        <v>1.3546229508196717</v>
      </c>
      <c r="O137" s="157">
        <f t="shared" si="149"/>
        <v>2.1875362318840579</v>
      </c>
      <c r="P137" s="157">
        <f t="shared" si="149"/>
        <v>1.3242191780821917</v>
      </c>
      <c r="Q137" s="157">
        <f t="shared" si="149"/>
        <v>0.90372972972972976</v>
      </c>
      <c r="R137" s="157">
        <f t="shared" si="149"/>
        <v>1.1697142857142855</v>
      </c>
      <c r="S137" s="157">
        <f t="shared" si="149"/>
        <v>1.3446341463414633</v>
      </c>
      <c r="T137" s="157">
        <f t="shared" si="149"/>
        <v>1.3582608695652174</v>
      </c>
      <c r="U137" s="157">
        <f t="shared" si="149"/>
        <v>1.7838350515463921</v>
      </c>
      <c r="V137" s="157">
        <f t="shared" si="149"/>
        <v>1.7342524271844664</v>
      </c>
      <c r="W137" s="157">
        <f t="shared" si="149"/>
        <v>2.5518319327731089</v>
      </c>
      <c r="X137" s="157">
        <f t="shared" si="149"/>
        <v>2.01879674796748</v>
      </c>
      <c r="Y137" s="157">
        <f t="shared" si="149"/>
        <v>1.2803862068965515</v>
      </c>
      <c r="Z137" s="157">
        <f t="shared" si="149"/>
        <v>1.5148535031847137</v>
      </c>
      <c r="AA137" s="157">
        <f t="shared" si="149"/>
        <v>1.9029394325465834</v>
      </c>
      <c r="AB137" s="157">
        <f t="shared" si="149"/>
        <v>1.7337851538823525</v>
      </c>
      <c r="AC137" s="158">
        <f t="shared" si="149"/>
        <v>1.6299161268602147</v>
      </c>
      <c r="AD137" s="158">
        <f t="shared" si="149"/>
        <v>1.590728314059406</v>
      </c>
      <c r="AE137" s="158">
        <f t="shared" si="149"/>
        <v>1.3626342415841581</v>
      </c>
      <c r="AF137" s="158">
        <f t="shared" si="149"/>
        <v>1.1862392908000006</v>
      </c>
      <c r="AG137" s="158">
        <f t="shared" si="149"/>
        <v>1.2328535437185928</v>
      </c>
      <c r="AH137" s="158">
        <f t="shared" si="149"/>
        <v>1.0646202965212763</v>
      </c>
      <c r="AI137" s="158">
        <f t="shared" ref="AI137:BN137" si="150">+AI43*4/AI134</f>
        <v>1.1865860798703778</v>
      </c>
      <c r="AJ137" s="157">
        <f t="shared" si="150"/>
        <v>1.6282851305649717</v>
      </c>
      <c r="AK137" s="158">
        <f t="shared" si="150"/>
        <v>1.6481788909677422</v>
      </c>
      <c r="AL137" s="157">
        <f t="shared" si="150"/>
        <v>1.6937437067391303</v>
      </c>
      <c r="AM137" s="158">
        <f t="shared" si="150"/>
        <v>1.7382557235121951</v>
      </c>
      <c r="AN137" s="157">
        <f t="shared" si="150"/>
        <v>1.4870205673873871</v>
      </c>
      <c r="AO137" s="157">
        <f t="shared" si="150"/>
        <v>1.2483561452693728</v>
      </c>
      <c r="AP137" s="157">
        <f t="shared" si="150"/>
        <v>1.3923765886885247</v>
      </c>
      <c r="AQ137" s="157">
        <f t="shared" si="150"/>
        <v>1.7228716920081133</v>
      </c>
      <c r="AR137" s="157">
        <f t="shared" si="150"/>
        <v>1.0771047639370079</v>
      </c>
      <c r="AS137" s="159">
        <f t="shared" si="150"/>
        <v>1.5665125598476191</v>
      </c>
      <c r="AT137" s="158">
        <f t="shared" si="150"/>
        <v>0.94755444577946779</v>
      </c>
      <c r="AU137" s="158">
        <f t="shared" si="150"/>
        <v>1.100481203809524</v>
      </c>
      <c r="AV137" s="157">
        <f t="shared" si="150"/>
        <v>0.72829358031032254</v>
      </c>
      <c r="AW137" s="157">
        <f t="shared" si="150"/>
        <v>0.60536783260254545</v>
      </c>
      <c r="AX137" s="157">
        <f t="shared" si="150"/>
        <v>0.54365842149456511</v>
      </c>
      <c r="AY137" s="157">
        <f t="shared" si="150"/>
        <v>0.79588104089219325</v>
      </c>
      <c r="AZ137" s="157">
        <f t="shared" si="150"/>
        <v>0.53109057301293905</v>
      </c>
      <c r="BA137" s="157">
        <f t="shared" si="150"/>
        <v>1.0945934463276836</v>
      </c>
      <c r="BB137" s="157">
        <f t="shared" si="150"/>
        <v>0.96938757735849068</v>
      </c>
      <c r="BC137" s="157">
        <f t="shared" si="150"/>
        <v>1.1128964482051282</v>
      </c>
      <c r="BD137" s="157">
        <f t="shared" si="150"/>
        <v>0.95083063019538194</v>
      </c>
      <c r="BE137" s="157">
        <f t="shared" si="150"/>
        <v>0.9971789506129598</v>
      </c>
      <c r="BF137" s="157">
        <f t="shared" si="150"/>
        <v>1.1149366540614336</v>
      </c>
      <c r="BG137" s="157">
        <f t="shared" si="150"/>
        <v>1.4941430649350649</v>
      </c>
      <c r="BH137" s="157">
        <f t="shared" si="150"/>
        <v>1.5116767453416151</v>
      </c>
      <c r="BI137" s="159">
        <f t="shared" si="150"/>
        <v>1.3058081204819274</v>
      </c>
      <c r="BJ137" s="157">
        <f t="shared" si="150"/>
        <v>1.6700684866468842</v>
      </c>
      <c r="BK137" s="157">
        <f t="shared" si="150"/>
        <v>1.3804182924096395</v>
      </c>
      <c r="BL137" s="157">
        <f t="shared" si="150"/>
        <v>1.342970880000002</v>
      </c>
      <c r="BM137" s="157">
        <f t="shared" si="150"/>
        <v>1.4227429485880647</v>
      </c>
      <c r="BN137" s="157">
        <f t="shared" si="150"/>
        <v>1.3001810308888901</v>
      </c>
      <c r="BO137" s="157">
        <f t="shared" ref="BO137:BU137" si="151">+BO43*4/BO134</f>
        <v>1.3058773915020312</v>
      </c>
      <c r="BP137" s="159">
        <f t="shared" si="151"/>
        <v>1.0955895834262965</v>
      </c>
      <c r="BQ137" s="157">
        <f t="shared" si="151"/>
        <v>1.0590021042857143</v>
      </c>
      <c r="BR137" s="157">
        <f t="shared" si="151"/>
        <v>1.1427179970817622</v>
      </c>
      <c r="BS137" s="157">
        <f t="shared" si="151"/>
        <v>1.2163562340966922</v>
      </c>
      <c r="BT137" s="157">
        <f t="shared" si="151"/>
        <v>0.89695760598503738</v>
      </c>
      <c r="BU137" s="157">
        <f t="shared" si="151"/>
        <v>1.2824857017345765</v>
      </c>
      <c r="BV137" s="157">
        <f>+(BV43+35)*4/BV134</f>
        <v>1.062994538272497</v>
      </c>
      <c r="BW137" s="158">
        <f t="shared" ref="BW137:CE137" si="152">+(BW43)*4/BW134</f>
        <v>0.94977852285789233</v>
      </c>
      <c r="BX137" s="158">
        <f t="shared" si="152"/>
        <v>1.1240185148166935</v>
      </c>
      <c r="BY137" s="158">
        <f t="shared" si="152"/>
        <v>1.5118554172332839</v>
      </c>
      <c r="BZ137" s="157">
        <f t="shared" si="152"/>
        <v>1.2618622147913323</v>
      </c>
      <c r="CA137" s="157">
        <f t="shared" si="152"/>
        <v>3.1937555155296016</v>
      </c>
      <c r="CB137" s="157">
        <f t="shared" si="152"/>
        <v>2.8600345882323879</v>
      </c>
      <c r="CC137" s="311">
        <f t="shared" si="152"/>
        <v>3.2563463247305022</v>
      </c>
      <c r="CD137" s="311">
        <f t="shared" si="152"/>
        <v>3.8414147244133261</v>
      </c>
      <c r="CE137" s="311">
        <f t="shared" si="152"/>
        <v>5.835843937954639</v>
      </c>
      <c r="CF137" s="283">
        <f t="shared" ref="CF137" si="153">+(CF43)*4/CF134</f>
        <v>3.9365169195041942</v>
      </c>
      <c r="CH137" s="457"/>
      <c r="CI137" s="457"/>
      <c r="CJ137" s="457"/>
      <c r="CK137" s="457"/>
      <c r="CL137" s="457"/>
      <c r="CM137" s="457"/>
      <c r="CN137" s="457"/>
      <c r="CO137" s="457"/>
      <c r="CP137" s="457"/>
    </row>
    <row r="138" spans="1:95" x14ac:dyDescent="0.2">
      <c r="A138" s="10"/>
      <c r="B138" s="11"/>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8"/>
      <c r="AD138" s="158"/>
      <c r="AE138" s="158"/>
      <c r="AF138" s="158"/>
      <c r="AG138" s="158"/>
      <c r="AH138" s="158"/>
      <c r="AI138" s="158"/>
      <c r="AJ138" s="157"/>
      <c r="AK138" s="159"/>
      <c r="AL138" s="157"/>
      <c r="AM138" s="158"/>
      <c r="AN138" s="157"/>
      <c r="AO138" s="157"/>
      <c r="AP138" s="157"/>
      <c r="AQ138" s="157"/>
      <c r="AR138" s="157"/>
      <c r="AS138" s="159"/>
      <c r="AT138" s="158"/>
      <c r="AU138" s="158"/>
      <c r="AV138" s="157"/>
      <c r="AW138" s="157"/>
      <c r="AX138" s="157"/>
      <c r="AY138" s="157"/>
      <c r="AZ138" s="157"/>
      <c r="BA138" s="157"/>
      <c r="BB138" s="157"/>
      <c r="BC138" s="157"/>
      <c r="BD138" s="157"/>
      <c r="BE138" s="157"/>
      <c r="BF138" s="157"/>
      <c r="BG138" s="157"/>
      <c r="BH138" s="158"/>
      <c r="BI138" s="313"/>
      <c r="BJ138" s="157"/>
      <c r="BK138" s="157"/>
      <c r="BL138" s="157"/>
      <c r="BM138" s="157"/>
      <c r="BN138" s="157"/>
      <c r="BO138" s="157"/>
      <c r="BP138" s="159"/>
      <c r="BQ138" s="157"/>
      <c r="BR138" s="159"/>
      <c r="BS138" s="157"/>
      <c r="BT138" s="157"/>
      <c r="BU138" s="157"/>
      <c r="BV138" s="157"/>
      <c r="BW138" s="158"/>
      <c r="BX138" s="158"/>
      <c r="BY138" s="158"/>
      <c r="BZ138" s="157"/>
      <c r="CA138" s="157"/>
      <c r="CB138" s="157"/>
      <c r="CC138" s="311"/>
      <c r="CD138" s="311"/>
      <c r="CE138" s="311"/>
      <c r="CF138" s="283"/>
      <c r="CH138" s="457"/>
      <c r="CI138" s="457"/>
      <c r="CJ138" s="457"/>
      <c r="CK138" s="457"/>
      <c r="CL138" s="457"/>
      <c r="CM138" s="457"/>
      <c r="CN138" s="457"/>
      <c r="CO138" s="457"/>
      <c r="CP138" s="457"/>
    </row>
    <row r="139" spans="1:95" x14ac:dyDescent="0.2">
      <c r="A139" s="237" t="s">
        <v>131</v>
      </c>
      <c r="B139" s="65"/>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9"/>
      <c r="AD139" s="29"/>
      <c r="AE139" s="29"/>
      <c r="AF139" s="29"/>
      <c r="AG139" s="29"/>
      <c r="AH139" s="29"/>
      <c r="AI139" s="29"/>
      <c r="AJ139" s="28"/>
      <c r="AK139" s="7"/>
      <c r="AL139" s="28"/>
      <c r="AM139" s="29"/>
      <c r="AN139" s="28"/>
      <c r="AO139" s="28"/>
      <c r="AP139" s="28"/>
      <c r="AQ139" s="28"/>
      <c r="AR139" s="28"/>
      <c r="AS139" s="7"/>
      <c r="AT139" s="29"/>
      <c r="AU139" s="29"/>
      <c r="AV139" s="28"/>
      <c r="AW139" s="28"/>
      <c r="AX139" s="28"/>
      <c r="AY139" s="28"/>
      <c r="AZ139" s="28"/>
      <c r="BA139" s="28"/>
      <c r="BB139" s="28"/>
      <c r="BC139" s="28"/>
      <c r="BD139" s="28"/>
      <c r="BE139" s="28"/>
      <c r="BF139" s="28"/>
      <c r="BG139" s="28"/>
      <c r="BH139" s="28"/>
      <c r="BI139" s="29"/>
      <c r="BJ139" s="28"/>
      <c r="BK139" s="28"/>
      <c r="BL139" s="28"/>
      <c r="BM139" s="28"/>
      <c r="BN139" s="28"/>
      <c r="BO139" s="28"/>
      <c r="BP139" s="7"/>
      <c r="BQ139" s="28"/>
      <c r="BR139" s="7"/>
      <c r="BS139" s="28"/>
      <c r="BT139" s="28"/>
      <c r="BU139" s="28"/>
      <c r="BV139" s="28"/>
      <c r="BW139" s="29"/>
      <c r="BX139" s="29"/>
      <c r="BY139" s="29"/>
      <c r="BZ139" s="28"/>
      <c r="CA139" s="28"/>
      <c r="CB139" s="28"/>
      <c r="CC139" s="291"/>
      <c r="CD139" s="291"/>
      <c r="CE139" s="291"/>
      <c r="CF139" s="268"/>
      <c r="CH139" s="457"/>
      <c r="CI139" s="457"/>
      <c r="CJ139" s="457"/>
      <c r="CK139" s="457"/>
      <c r="CL139" s="457"/>
      <c r="CM139" s="457"/>
      <c r="CN139" s="457"/>
      <c r="CO139" s="457"/>
      <c r="CP139" s="457"/>
    </row>
    <row r="140" spans="1:95" ht="15" x14ac:dyDescent="0.2">
      <c r="A140" s="35" t="s">
        <v>222</v>
      </c>
      <c r="B140" s="171">
        <f>32*0.479</f>
        <v>15.327999999999999</v>
      </c>
      <c r="C140" s="101">
        <v>2.8260999999999998</v>
      </c>
      <c r="D140" s="101">
        <v>2.1719999999999997</v>
      </c>
      <c r="E140" s="101">
        <v>2.0634000000000001</v>
      </c>
      <c r="F140" s="101">
        <v>3</v>
      </c>
      <c r="G140" s="101">
        <v>2.5</v>
      </c>
      <c r="H140" s="101">
        <v>2.1</v>
      </c>
      <c r="I140" s="101">
        <v>1.94</v>
      </c>
      <c r="J140" s="101">
        <v>2.7</v>
      </c>
      <c r="K140" s="101">
        <v>2.56</v>
      </c>
      <c r="L140" s="101">
        <v>2.68</v>
      </c>
      <c r="M140" s="101">
        <v>3.5799999999999996</v>
      </c>
      <c r="N140" s="101">
        <v>5.66</v>
      </c>
      <c r="O140" s="101">
        <v>7.3</v>
      </c>
      <c r="P140" s="101">
        <v>6.5200000000000005</v>
      </c>
      <c r="Q140" s="101">
        <v>6.08</v>
      </c>
      <c r="R140" s="101">
        <v>8.5</v>
      </c>
      <c r="S140" s="101">
        <v>11.4</v>
      </c>
      <c r="T140" s="101">
        <v>11.3</v>
      </c>
      <c r="U140" s="101">
        <v>13.1</v>
      </c>
      <c r="V140" s="101">
        <v>19.8</v>
      </c>
      <c r="W140" s="101">
        <v>26</v>
      </c>
      <c r="X140" s="101">
        <v>27</v>
      </c>
      <c r="Y140" s="101">
        <v>25.4</v>
      </c>
      <c r="Z140" s="101">
        <v>24.65</v>
      </c>
      <c r="AA140" s="101">
        <v>24.2</v>
      </c>
      <c r="AB140" s="101">
        <v>25.45</v>
      </c>
      <c r="AC140" s="172">
        <v>23.7</v>
      </c>
      <c r="AD140" s="172">
        <v>27.1</v>
      </c>
      <c r="AE140" s="172">
        <v>26.05</v>
      </c>
      <c r="AF140" s="172">
        <v>18.399999999999999</v>
      </c>
      <c r="AG140" s="172">
        <v>16</v>
      </c>
      <c r="AH140" s="172">
        <v>14.2</v>
      </c>
      <c r="AI140" s="172">
        <v>17.149999999999999</v>
      </c>
      <c r="AJ140" s="101">
        <v>24.05</v>
      </c>
      <c r="AK140" s="102">
        <v>28.8</v>
      </c>
      <c r="AL140" s="101">
        <v>33.700000000000003</v>
      </c>
      <c r="AM140" s="172">
        <v>37.4</v>
      </c>
      <c r="AN140" s="101">
        <v>43.4</v>
      </c>
      <c r="AO140" s="101">
        <v>46.2</v>
      </c>
      <c r="AP140" s="101">
        <v>46.8</v>
      </c>
      <c r="AQ140" s="101">
        <v>48.8</v>
      </c>
      <c r="AR140" s="101">
        <v>38.700000000000003</v>
      </c>
      <c r="AS140" s="102">
        <v>32.799999999999997</v>
      </c>
      <c r="AT140" s="172">
        <v>32.9</v>
      </c>
      <c r="AU140" s="172">
        <v>37.200000000000003</v>
      </c>
      <c r="AV140" s="101">
        <v>28.4</v>
      </c>
      <c r="AW140" s="101">
        <v>28.95</v>
      </c>
      <c r="AX140" s="101">
        <v>26.3</v>
      </c>
      <c r="AY140" s="101">
        <v>35</v>
      </c>
      <c r="AZ140" s="101">
        <v>27.4</v>
      </c>
      <c r="BA140" s="101">
        <v>38.6</v>
      </c>
      <c r="BB140" s="101">
        <v>41.8</v>
      </c>
      <c r="BC140" s="101">
        <v>49.7</v>
      </c>
      <c r="BD140" s="101">
        <v>56</v>
      </c>
      <c r="BE140" s="101">
        <v>48.7</v>
      </c>
      <c r="BF140" s="101">
        <v>51.6</v>
      </c>
      <c r="BG140" s="101">
        <v>60.1</v>
      </c>
      <c r="BH140" s="101">
        <v>60.3</v>
      </c>
      <c r="BI140" s="172">
        <v>68.7</v>
      </c>
      <c r="BJ140" s="101">
        <v>73.5</v>
      </c>
      <c r="BK140" s="101">
        <v>72.400000000000006</v>
      </c>
      <c r="BL140" s="101">
        <v>64.599999999999994</v>
      </c>
      <c r="BM140" s="101">
        <v>67.8</v>
      </c>
      <c r="BN140" s="101">
        <v>73.8</v>
      </c>
      <c r="BO140" s="101">
        <v>67.38</v>
      </c>
      <c r="BP140" s="102">
        <v>73.58</v>
      </c>
      <c r="BQ140" s="101">
        <v>68.239999999999995</v>
      </c>
      <c r="BR140" s="102">
        <v>68.820000000000007</v>
      </c>
      <c r="BS140" s="101">
        <v>88.039999999999992</v>
      </c>
      <c r="BT140" s="101">
        <v>92</v>
      </c>
      <c r="BU140" s="101">
        <v>80.960000000000008</v>
      </c>
      <c r="BV140" s="101">
        <v>84.72</v>
      </c>
      <c r="BW140" s="172">
        <v>79.8</v>
      </c>
      <c r="BX140" s="172">
        <v>70.900000000000006</v>
      </c>
      <c r="BY140" s="172">
        <v>80.2</v>
      </c>
      <c r="BZ140" s="101">
        <v>97.8</v>
      </c>
      <c r="CA140" s="101">
        <v>82.8</v>
      </c>
      <c r="CB140" s="101">
        <v>132.30000000000001</v>
      </c>
      <c r="CC140" s="303">
        <v>175.8</v>
      </c>
      <c r="CD140" s="303">
        <v>233</v>
      </c>
      <c r="CE140" s="303">
        <v>271.39999999999998</v>
      </c>
      <c r="CF140" s="343">
        <v>266.89999999999998</v>
      </c>
      <c r="CH140" s="457"/>
      <c r="CI140" s="457"/>
      <c r="CJ140" s="457"/>
      <c r="CK140" s="457"/>
      <c r="CL140" s="457"/>
      <c r="CM140" s="457"/>
      <c r="CN140" s="457"/>
      <c r="CO140" s="457"/>
      <c r="CP140" s="457"/>
    </row>
    <row r="141" spans="1:95" x14ac:dyDescent="0.2">
      <c r="A141" s="43" t="s">
        <v>89</v>
      </c>
      <c r="B141" s="44"/>
      <c r="C141" s="45">
        <f t="shared" ref="C141:AH141" si="154">+C140*C145/1000000</f>
        <v>296.59313301550003</v>
      </c>
      <c r="D141" s="45">
        <f t="shared" si="154"/>
        <v>227.94674105999997</v>
      </c>
      <c r="E141" s="45">
        <f t="shared" si="154"/>
        <v>262.21148652600004</v>
      </c>
      <c r="F141" s="45">
        <f t="shared" si="154"/>
        <v>399.34311000000002</v>
      </c>
      <c r="G141" s="45">
        <f t="shared" si="154"/>
        <v>332.78592500000002</v>
      </c>
      <c r="H141" s="45">
        <f t="shared" si="154"/>
        <v>279.54017700000003</v>
      </c>
      <c r="I141" s="45">
        <f t="shared" si="154"/>
        <v>258.2418778</v>
      </c>
      <c r="J141" s="45">
        <f t="shared" si="154"/>
        <v>359.40879899999999</v>
      </c>
      <c r="K141" s="45">
        <f t="shared" si="154"/>
        <v>340.77278719999998</v>
      </c>
      <c r="L141" s="45">
        <f t="shared" si="154"/>
        <v>356.74651160000002</v>
      </c>
      <c r="M141" s="45">
        <f t="shared" si="154"/>
        <v>476.54944459999996</v>
      </c>
      <c r="N141" s="45">
        <f t="shared" si="154"/>
        <v>753.42733420000002</v>
      </c>
      <c r="O141" s="45">
        <f t="shared" si="154"/>
        <v>971.73490100000004</v>
      </c>
      <c r="P141" s="45">
        <f t="shared" si="154"/>
        <v>867.90569240000013</v>
      </c>
      <c r="Q141" s="45">
        <f t="shared" si="154"/>
        <v>809.33536960000004</v>
      </c>
      <c r="R141" s="45">
        <f t="shared" si="154"/>
        <v>1131.472145</v>
      </c>
      <c r="S141" s="45">
        <f t="shared" si="154"/>
        <v>1565.543418</v>
      </c>
      <c r="T141" s="45">
        <f t="shared" si="154"/>
        <v>1551.810581</v>
      </c>
      <c r="U141" s="45">
        <f t="shared" si="154"/>
        <v>1799.001647</v>
      </c>
      <c r="V141" s="45">
        <f t="shared" si="154"/>
        <v>2719.1017259999999</v>
      </c>
      <c r="W141" s="45">
        <f t="shared" si="154"/>
        <v>3570.5376200000001</v>
      </c>
      <c r="X141" s="45">
        <f t="shared" si="154"/>
        <v>3707.8659899999998</v>
      </c>
      <c r="Y141" s="45">
        <f t="shared" si="154"/>
        <v>3488.140598</v>
      </c>
      <c r="Z141" s="45">
        <f t="shared" si="154"/>
        <v>3385.1443205</v>
      </c>
      <c r="AA141" s="45">
        <f t="shared" si="154"/>
        <v>3323.3465540000002</v>
      </c>
      <c r="AB141" s="45">
        <f t="shared" si="154"/>
        <v>3495.0070165000002</v>
      </c>
      <c r="AC141" s="47">
        <f t="shared" si="154"/>
        <v>3254.6823690000001</v>
      </c>
      <c r="AD141" s="46">
        <f t="shared" si="154"/>
        <v>3680.18</v>
      </c>
      <c r="AE141" s="46">
        <f t="shared" si="154"/>
        <v>3537.59</v>
      </c>
      <c r="AF141" s="46">
        <f t="shared" si="154"/>
        <v>2517.10574</v>
      </c>
      <c r="AG141" s="46">
        <f t="shared" si="154"/>
        <v>2199.6887999999999</v>
      </c>
      <c r="AH141" s="46">
        <f t="shared" si="154"/>
        <v>1958.0103099999999</v>
      </c>
      <c r="AI141" s="46">
        <f t="shared" ref="AI141:BN141" si="155">+AI140*AI145/1000000</f>
        <v>2364.7800575000001</v>
      </c>
      <c r="AJ141" s="45">
        <f t="shared" si="155"/>
        <v>3316.2076025000001</v>
      </c>
      <c r="AK141" s="46">
        <f t="shared" si="155"/>
        <v>3971.1758399999999</v>
      </c>
      <c r="AL141" s="45">
        <f t="shared" si="155"/>
        <v>4646.8272850000003</v>
      </c>
      <c r="AM141" s="46">
        <f t="shared" si="155"/>
        <v>5157.01307</v>
      </c>
      <c r="AN141" s="45">
        <f t="shared" si="155"/>
        <v>6020.8212400000002</v>
      </c>
      <c r="AO141" s="45">
        <f t="shared" si="155"/>
        <v>6437.73207</v>
      </c>
      <c r="AP141" s="45">
        <f t="shared" si="155"/>
        <v>6542.0479800000003</v>
      </c>
      <c r="AQ141" s="45">
        <f t="shared" si="155"/>
        <v>6821.6226800000004</v>
      </c>
      <c r="AR141" s="45">
        <f t="shared" si="155"/>
        <v>5522.1171254999999</v>
      </c>
      <c r="AS141" s="47">
        <f t="shared" si="155"/>
        <v>4654.2842479999999</v>
      </c>
      <c r="AT141" s="46">
        <f t="shared" si="155"/>
        <v>4649.1893104999999</v>
      </c>
      <c r="AU141" s="46">
        <f t="shared" si="155"/>
        <v>5256.8341140000002</v>
      </c>
      <c r="AV141" s="45">
        <f t="shared" si="155"/>
        <v>4100.0720739999997</v>
      </c>
      <c r="AW141" s="45">
        <f t="shared" si="155"/>
        <v>4179.4748782500001</v>
      </c>
      <c r="AX141" s="45">
        <f t="shared" si="155"/>
        <v>3796.8977304999999</v>
      </c>
      <c r="AY141" s="45">
        <f t="shared" si="155"/>
        <v>5052.9057249999996</v>
      </c>
      <c r="AZ141" s="45">
        <f t="shared" si="155"/>
        <v>3955.7033390000001</v>
      </c>
      <c r="BA141" s="45">
        <f t="shared" si="155"/>
        <v>5572.6331710000004</v>
      </c>
      <c r="BB141" s="45">
        <f t="shared" si="155"/>
        <v>6034.6131230000001</v>
      </c>
      <c r="BC141" s="45">
        <f t="shared" si="155"/>
        <v>7175.1261295000004</v>
      </c>
      <c r="BD141" s="45">
        <f t="shared" si="155"/>
        <v>8084.6491599999999</v>
      </c>
      <c r="BE141" s="45">
        <f t="shared" si="155"/>
        <v>7030.7573945000004</v>
      </c>
      <c r="BF141" s="45">
        <f t="shared" si="155"/>
        <v>7449.4267259999997</v>
      </c>
      <c r="BG141" s="45">
        <f t="shared" si="155"/>
        <v>8676.5609734999998</v>
      </c>
      <c r="BH141" s="45">
        <f t="shared" si="155"/>
        <v>8847.2425320000002</v>
      </c>
      <c r="BI141" s="47">
        <f t="shared" si="155"/>
        <v>10079.694228</v>
      </c>
      <c r="BJ141" s="45">
        <f t="shared" si="155"/>
        <v>10783.95234</v>
      </c>
      <c r="BK141" s="45">
        <f t="shared" si="155"/>
        <v>10622.559856</v>
      </c>
      <c r="BL141" s="45">
        <f t="shared" si="155"/>
        <v>9637.9718059999996</v>
      </c>
      <c r="BM141" s="45">
        <f t="shared" si="155"/>
        <v>10115.394558</v>
      </c>
      <c r="BN141" s="45">
        <f t="shared" si="155"/>
        <v>11010.562217999999</v>
      </c>
      <c r="BO141" s="45">
        <f t="shared" ref="BO141:CE141" si="156">+BO140*BO145/1000000</f>
        <v>10052.732821799998</v>
      </c>
      <c r="BP141" s="47">
        <f t="shared" si="156"/>
        <v>10977.739403799998</v>
      </c>
      <c r="BQ141" s="45">
        <f t="shared" si="156"/>
        <v>10234.7109464</v>
      </c>
      <c r="BR141" s="45">
        <f t="shared" si="156"/>
        <v>10321.699990200001</v>
      </c>
      <c r="BS141" s="45">
        <f t="shared" si="156"/>
        <v>13204.3369244</v>
      </c>
      <c r="BT141" s="45">
        <f t="shared" si="156"/>
        <v>13798.262119999999</v>
      </c>
      <c r="BU141" s="45">
        <f t="shared" si="156"/>
        <v>12254.508780800001</v>
      </c>
      <c r="BV141" s="45">
        <f t="shared" si="156"/>
        <v>12823.6411056</v>
      </c>
      <c r="BW141" s="46">
        <f t="shared" si="156"/>
        <v>12078.925404</v>
      </c>
      <c r="BX141" s="46">
        <f t="shared" si="156"/>
        <v>10731.777082000001</v>
      </c>
      <c r="BY141" s="46">
        <f t="shared" si="156"/>
        <v>12333.663024399999</v>
      </c>
      <c r="BZ141" s="45">
        <f t="shared" si="156"/>
        <v>15040.302291600001</v>
      </c>
      <c r="CA141" s="45">
        <f t="shared" si="156"/>
        <v>12733.5074616</v>
      </c>
      <c r="CB141" s="45">
        <f t="shared" si="156"/>
        <v>20345.930400600002</v>
      </c>
      <c r="CC141" s="293">
        <f t="shared" si="156"/>
        <v>27240.914958000001</v>
      </c>
      <c r="CD141" s="293">
        <f t="shared" si="156"/>
        <v>36104.284330000002</v>
      </c>
      <c r="CE141" s="293">
        <f t="shared" si="156"/>
        <v>42054.518314000001</v>
      </c>
      <c r="CF141" s="344">
        <f>+CF140*CF145/1000000</f>
        <v>41357.225269000002</v>
      </c>
      <c r="CH141" s="457"/>
      <c r="CI141" s="457"/>
      <c r="CJ141" s="457"/>
      <c r="CK141" s="457"/>
      <c r="CL141" s="457"/>
      <c r="CM141" s="457"/>
      <c r="CN141" s="457"/>
      <c r="CO141" s="457"/>
      <c r="CP141" s="457"/>
    </row>
    <row r="142" spans="1:95" x14ac:dyDescent="0.2">
      <c r="A142" s="10" t="s">
        <v>47</v>
      </c>
      <c r="B142" s="11"/>
      <c r="C142" s="165" t="s">
        <v>35</v>
      </c>
      <c r="D142" s="165" t="s">
        <v>35</v>
      </c>
      <c r="E142" s="165" t="s">
        <v>35</v>
      </c>
      <c r="F142" s="179">
        <f t="shared" ref="F142:AK142" si="157">F141/SUM(C47:F47)</f>
        <v>59.050454963251582</v>
      </c>
      <c r="G142" s="179">
        <f t="shared" si="157"/>
        <v>36.084212164190106</v>
      </c>
      <c r="H142" s="179">
        <f t="shared" si="157"/>
        <v>24.926184247132344</v>
      </c>
      <c r="I142" s="179">
        <f t="shared" si="157"/>
        <v>15.674734495333547</v>
      </c>
      <c r="J142" s="179">
        <f t="shared" si="157"/>
        <v>18.573407036017262</v>
      </c>
      <c r="K142" s="179">
        <f t="shared" si="157"/>
        <v>15.5178864845173</v>
      </c>
      <c r="L142" s="179">
        <f t="shared" si="157"/>
        <v>11.76188734062363</v>
      </c>
      <c r="M142" s="179">
        <f t="shared" si="157"/>
        <v>12.312793760787111</v>
      </c>
      <c r="N142" s="179">
        <f t="shared" si="157"/>
        <v>17.773704510497762</v>
      </c>
      <c r="O142" s="179">
        <f t="shared" si="157"/>
        <v>14.906634786605162</v>
      </c>
      <c r="P142" s="179">
        <f t="shared" si="157"/>
        <v>11.762993996426268</v>
      </c>
      <c r="Q142" s="179">
        <f t="shared" si="157"/>
        <v>11.322403551830925</v>
      </c>
      <c r="R142" s="179">
        <f t="shared" si="157"/>
        <v>15.538067692437837</v>
      </c>
      <c r="S142" s="179">
        <f t="shared" si="157"/>
        <v>23.919627056679467</v>
      </c>
      <c r="T142" s="179">
        <f t="shared" si="157"/>
        <v>22.125129758624148</v>
      </c>
      <c r="U142" s="179">
        <f t="shared" si="157"/>
        <v>20.059955092057159</v>
      </c>
      <c r="V142" s="179">
        <f t="shared" si="157"/>
        <v>25.661586693091728</v>
      </c>
      <c r="W142" s="179">
        <f t="shared" si="157"/>
        <v>25.273311437813653</v>
      </c>
      <c r="X142" s="179">
        <f t="shared" si="157"/>
        <v>22.544741437492014</v>
      </c>
      <c r="Y142" s="179">
        <f t="shared" si="157"/>
        <v>20.937218475390154</v>
      </c>
      <c r="Z142" s="179">
        <f t="shared" si="157"/>
        <v>17.999672034434536</v>
      </c>
      <c r="AA142" s="179">
        <f t="shared" si="157"/>
        <v>17.5798155249588</v>
      </c>
      <c r="AB142" s="179">
        <f t="shared" si="157"/>
        <v>17.611419571132295</v>
      </c>
      <c r="AC142" s="180">
        <f t="shared" si="157"/>
        <v>14.691949726931242</v>
      </c>
      <c r="AD142" s="180">
        <f t="shared" si="157"/>
        <v>15.862703912144864</v>
      </c>
      <c r="AE142" s="180">
        <f t="shared" si="157"/>
        <v>15.4667825291891</v>
      </c>
      <c r="AF142" s="180">
        <f t="shared" si="157"/>
        <v>11.475405253981071</v>
      </c>
      <c r="AG142" s="180">
        <f t="shared" si="157"/>
        <v>10.430441905122038</v>
      </c>
      <c r="AH142" s="180">
        <f t="shared" si="157"/>
        <v>10.555504461320332</v>
      </c>
      <c r="AI142" s="180">
        <f t="shared" si="157"/>
        <v>13.339241009430326</v>
      </c>
      <c r="AJ142" s="181">
        <f t="shared" si="157"/>
        <v>17.27015084998196</v>
      </c>
      <c r="AK142" s="180">
        <f t="shared" si="157"/>
        <v>19.53112896750719</v>
      </c>
      <c r="AL142" s="181">
        <f t="shared" ref="AL142:BQ142" si="158">AL141/SUM(AI47:AL47)</f>
        <v>20.362912818628708</v>
      </c>
      <c r="AM142" s="180">
        <f t="shared" si="158"/>
        <v>20.090451737505735</v>
      </c>
      <c r="AN142" s="181">
        <f t="shared" si="158"/>
        <v>22.79165659506544</v>
      </c>
      <c r="AO142" s="181">
        <f t="shared" si="158"/>
        <v>24.276795573473425</v>
      </c>
      <c r="AP142" s="181">
        <f t="shared" si="158"/>
        <v>24.21158302362829</v>
      </c>
      <c r="AQ142" s="181">
        <f t="shared" si="158"/>
        <v>23.827700423568313</v>
      </c>
      <c r="AR142" s="181">
        <f t="shared" si="158"/>
        <v>19.996360845552118</v>
      </c>
      <c r="AS142" s="182">
        <f t="shared" si="158"/>
        <v>15.345203326306754</v>
      </c>
      <c r="AT142" s="180">
        <f t="shared" si="158"/>
        <v>16.049828449599485</v>
      </c>
      <c r="AU142" s="180">
        <f t="shared" si="158"/>
        <v>20.162809769148684</v>
      </c>
      <c r="AV142" s="181">
        <f t="shared" si="158"/>
        <v>16.946874690587055</v>
      </c>
      <c r="AW142" s="181">
        <f t="shared" si="158"/>
        <v>22.500123580709964</v>
      </c>
      <c r="AX142" s="181">
        <f t="shared" si="158"/>
        <v>23.735929880221452</v>
      </c>
      <c r="AY142" s="181">
        <f t="shared" si="158"/>
        <v>35.024422680548639</v>
      </c>
      <c r="AZ142" s="181">
        <f t="shared" si="158"/>
        <v>28.546716323192985</v>
      </c>
      <c r="BA142" s="181">
        <f t="shared" si="158"/>
        <v>33.051593210063039</v>
      </c>
      <c r="BB142" s="181">
        <f t="shared" si="158"/>
        <v>31.216707738883123</v>
      </c>
      <c r="BC142" s="181">
        <f t="shared" si="158"/>
        <v>33.521460450598987</v>
      </c>
      <c r="BD142" s="181">
        <f t="shared" si="158"/>
        <v>34.167882877760889</v>
      </c>
      <c r="BE142" s="181">
        <f t="shared" si="158"/>
        <v>29.850101174652078</v>
      </c>
      <c r="BF142" s="181">
        <f t="shared" si="158"/>
        <v>29.847534892126507</v>
      </c>
      <c r="BG142" s="181">
        <f t="shared" si="158"/>
        <v>30.618493816954956</v>
      </c>
      <c r="BH142" s="181">
        <f t="shared" si="158"/>
        <v>26.601707675876447</v>
      </c>
      <c r="BI142" s="182">
        <f t="shared" si="158"/>
        <v>27.56348088321014</v>
      </c>
      <c r="BJ142" s="181">
        <f t="shared" si="158"/>
        <v>25.91521657163922</v>
      </c>
      <c r="BK142" s="181">
        <f t="shared" si="158"/>
        <v>25.556499042078144</v>
      </c>
      <c r="BL142" s="181">
        <f t="shared" si="158"/>
        <v>23.792121087830903</v>
      </c>
      <c r="BM142" s="181">
        <f t="shared" si="158"/>
        <v>24.281596614365554</v>
      </c>
      <c r="BN142" s="181">
        <f t="shared" si="158"/>
        <v>27.602318678413216</v>
      </c>
      <c r="BO142" s="181">
        <f t="shared" si="158"/>
        <v>24.910402993424757</v>
      </c>
      <c r="BP142" s="182">
        <f t="shared" si="158"/>
        <v>27.585923810450662</v>
      </c>
      <c r="BQ142" s="181">
        <f t="shared" si="158"/>
        <v>26.827320092535778</v>
      </c>
      <c r="BR142" s="181">
        <f t="shared" ref="BR142:CE142" si="159">BR141/SUM(BO47:BR47)</f>
        <v>27.267088310942082</v>
      </c>
      <c r="BS142" s="181">
        <f t="shared" si="159"/>
        <v>34.845715162323039</v>
      </c>
      <c r="BT142" s="181">
        <f t="shared" si="159"/>
        <v>37.328838840244181</v>
      </c>
      <c r="BU142" s="181">
        <f t="shared" si="159"/>
        <v>31.645475579645804</v>
      </c>
      <c r="BV142" s="181">
        <f t="shared" si="159"/>
        <v>36.73604209156619</v>
      </c>
      <c r="BW142" s="180">
        <f t="shared" si="159"/>
        <v>36.332334262545501</v>
      </c>
      <c r="BX142" s="180">
        <f t="shared" si="159"/>
        <v>30.287450621146473</v>
      </c>
      <c r="BY142" s="180">
        <f t="shared" si="159"/>
        <v>31.973225346596369</v>
      </c>
      <c r="BZ142" s="181">
        <f t="shared" si="159"/>
        <v>33.652314108886074</v>
      </c>
      <c r="CA142" s="181">
        <f t="shared" si="159"/>
        <v>19.157894866468251</v>
      </c>
      <c r="CB142" s="181">
        <f t="shared" si="159"/>
        <v>24.098508479007815</v>
      </c>
      <c r="CC142" s="181">
        <f t="shared" si="159"/>
        <v>26.252456185259689</v>
      </c>
      <c r="CD142" s="181">
        <f t="shared" si="159"/>
        <v>27.052451464744983</v>
      </c>
      <c r="CE142" s="181">
        <f t="shared" si="159"/>
        <v>25.310386921165438</v>
      </c>
      <c r="CF142" s="345">
        <f>CF141/SUM(CC47:CF47)</f>
        <v>22.581534252357251</v>
      </c>
      <c r="CH142" s="457"/>
      <c r="CI142" s="457"/>
      <c r="CJ142" s="457"/>
      <c r="CK142" s="457"/>
      <c r="CL142" s="457"/>
      <c r="CM142" s="457"/>
      <c r="CN142" s="457"/>
      <c r="CO142" s="457"/>
      <c r="CP142" s="457"/>
    </row>
    <row r="143" spans="1:95" s="475" customFormat="1" x14ac:dyDescent="0.2">
      <c r="A143" s="336" t="s">
        <v>182</v>
      </c>
      <c r="B143" s="337"/>
      <c r="C143" s="342">
        <f t="shared" ref="C143:AH143" si="160">+C141/C60</f>
        <v>0.84789346202258442</v>
      </c>
      <c r="D143" s="342">
        <f t="shared" si="160"/>
        <v>0.70528075823019798</v>
      </c>
      <c r="E143" s="342">
        <f t="shared" si="160"/>
        <v>0.74619091214001154</v>
      </c>
      <c r="F143" s="342">
        <f t="shared" si="160"/>
        <v>2.2409826599326603</v>
      </c>
      <c r="G143" s="342">
        <f t="shared" si="160"/>
        <v>1.864346918767507</v>
      </c>
      <c r="H143" s="342">
        <f t="shared" si="160"/>
        <v>1.5757619898534387</v>
      </c>
      <c r="I143" s="342">
        <f t="shared" si="160"/>
        <v>1.4181322229544207</v>
      </c>
      <c r="J143" s="342">
        <f t="shared" si="160"/>
        <v>1.8719208281249999</v>
      </c>
      <c r="K143" s="342">
        <f t="shared" si="160"/>
        <v>1.7502454401643555</v>
      </c>
      <c r="L143" s="342">
        <f t="shared" si="160"/>
        <v>1.7669465656265479</v>
      </c>
      <c r="M143" s="342">
        <f t="shared" si="160"/>
        <v>2.218572833333333</v>
      </c>
      <c r="N143" s="342">
        <f t="shared" si="160"/>
        <v>3.3001635313184408</v>
      </c>
      <c r="O143" s="342">
        <f t="shared" si="160"/>
        <v>4.2770022051056342</v>
      </c>
      <c r="P143" s="342">
        <f t="shared" si="160"/>
        <v>3.5716283637860089</v>
      </c>
      <c r="Q143" s="342">
        <f t="shared" si="160"/>
        <v>3.1926444560157794</v>
      </c>
      <c r="R143" s="342">
        <f t="shared" si="160"/>
        <v>4.2377233895131088</v>
      </c>
      <c r="S143" s="342">
        <f t="shared" si="160"/>
        <v>5.9323358014399394</v>
      </c>
      <c r="T143" s="342">
        <f t="shared" si="160"/>
        <v>5.4278089576775095</v>
      </c>
      <c r="U143" s="342">
        <f t="shared" si="160"/>
        <v>5.641272019441832</v>
      </c>
      <c r="V143" s="342">
        <f t="shared" si="160"/>
        <v>7.6875932315521629</v>
      </c>
      <c r="W143" s="342">
        <f t="shared" si="160"/>
        <v>8.7299208312958445</v>
      </c>
      <c r="X143" s="342">
        <f t="shared" si="160"/>
        <v>9.2928972180451126</v>
      </c>
      <c r="Y143" s="342">
        <f t="shared" si="160"/>
        <v>8.0205578247873071</v>
      </c>
      <c r="Z143" s="342">
        <f t="shared" si="160"/>
        <v>6.9254180042962359</v>
      </c>
      <c r="AA143" s="342">
        <f t="shared" si="160"/>
        <v>7.6433913385464587</v>
      </c>
      <c r="AB143" s="342">
        <f t="shared" si="160"/>
        <v>7.1457923052545489</v>
      </c>
      <c r="AC143" s="342">
        <f t="shared" si="160"/>
        <v>5.9283831857923497</v>
      </c>
      <c r="AD143" s="342">
        <f t="shared" si="160"/>
        <v>6.4226527050610818</v>
      </c>
      <c r="AE143" s="342">
        <f t="shared" si="160"/>
        <v>5.6420893141945774</v>
      </c>
      <c r="AF143" s="342">
        <f t="shared" si="160"/>
        <v>4.7762917267552183</v>
      </c>
      <c r="AG143" s="342">
        <f t="shared" si="160"/>
        <v>3.7730511149228128</v>
      </c>
      <c r="AH143" s="342">
        <f t="shared" si="160"/>
        <v>3.1178508121019108</v>
      </c>
      <c r="AI143" s="342">
        <f t="shared" ref="AI143:BN143" si="161">+AI141/AI60</f>
        <v>3.5190179427083335</v>
      </c>
      <c r="AJ143" s="342">
        <f t="shared" si="161"/>
        <v>5.8179080745614034</v>
      </c>
      <c r="AK143" s="342">
        <f t="shared" si="161"/>
        <v>6.3034537142857143</v>
      </c>
      <c r="AL143" s="342">
        <f t="shared" si="161"/>
        <v>6.7053784776334782</v>
      </c>
      <c r="AM143" s="342">
        <f t="shared" si="161"/>
        <v>6.7236154758800524</v>
      </c>
      <c r="AN143" s="342">
        <f t="shared" si="161"/>
        <v>9.3057515301391032</v>
      </c>
      <c r="AO143" s="342">
        <f t="shared" si="161"/>
        <v>8.8309081893004109</v>
      </c>
      <c r="AP143" s="342">
        <f t="shared" si="161"/>
        <v>8.0467994833948335</v>
      </c>
      <c r="AQ143" s="342">
        <f t="shared" si="161"/>
        <v>7.5543994241417503</v>
      </c>
      <c r="AR143" s="342">
        <f t="shared" si="161"/>
        <v>7.0978369222365041</v>
      </c>
      <c r="AS143" s="342">
        <f t="shared" si="161"/>
        <v>5.5412763539818801</v>
      </c>
      <c r="AT143" s="342">
        <f t="shared" si="161"/>
        <v>5.3111740432507766</v>
      </c>
      <c r="AU143" s="342">
        <f t="shared" si="161"/>
        <v>5.6222824748663101</v>
      </c>
      <c r="AV143" s="342">
        <f t="shared" si="161"/>
        <v>5.352574509138381</v>
      </c>
      <c r="AW143" s="342">
        <f t="shared" si="161"/>
        <v>5.2374371907894739</v>
      </c>
      <c r="AX143" s="342">
        <f t="shared" si="161"/>
        <v>4.5856252783816425</v>
      </c>
      <c r="AY143" s="342">
        <f t="shared" si="161"/>
        <v>5.787979066437571</v>
      </c>
      <c r="AZ143" s="342">
        <f t="shared" si="161"/>
        <v>5.8343707064896755</v>
      </c>
      <c r="BA143" s="342">
        <f t="shared" si="161"/>
        <v>7.5305853662162168</v>
      </c>
      <c r="BB143" s="342">
        <f t="shared" si="161"/>
        <v>7.6002684168765748</v>
      </c>
      <c r="BC143" s="342">
        <f t="shared" si="161"/>
        <v>8.3528825721769504</v>
      </c>
      <c r="BD143" s="342">
        <f t="shared" si="161"/>
        <v>11.836968023426062</v>
      </c>
      <c r="BE143" s="342">
        <f t="shared" si="161"/>
        <v>9.4119911572958515</v>
      </c>
      <c r="BF143" s="342">
        <f t="shared" si="161"/>
        <v>9.1404008907975456</v>
      </c>
      <c r="BG143" s="342">
        <f t="shared" si="161"/>
        <v>12.18618114255618</v>
      </c>
      <c r="BH143" s="342">
        <f t="shared" si="161"/>
        <v>9.7329400792079213</v>
      </c>
      <c r="BI143" s="342">
        <f t="shared" si="161"/>
        <v>10.009626840119166</v>
      </c>
      <c r="BJ143" s="342">
        <f t="shared" si="161"/>
        <v>9.5772223268206034</v>
      </c>
      <c r="BK143" s="342">
        <f t="shared" si="161"/>
        <v>8.6785619738562083</v>
      </c>
      <c r="BL143" s="342">
        <f t="shared" si="161"/>
        <v>8.8179065013723701</v>
      </c>
      <c r="BM143" s="342">
        <f t="shared" si="161"/>
        <v>8.3806085816072908</v>
      </c>
      <c r="BN143" s="342">
        <f t="shared" si="161"/>
        <v>8.4178610229357798</v>
      </c>
      <c r="BO143" s="342">
        <f t="shared" ref="BO143:CE143" si="162">+BO141/BO60</f>
        <v>9.1554943732240428</v>
      </c>
      <c r="BP143" s="342">
        <f t="shared" si="162"/>
        <v>9.2561040504215839</v>
      </c>
      <c r="BQ143" s="342">
        <f t="shared" si="162"/>
        <v>7.7010616601956361</v>
      </c>
      <c r="BR143" s="342">
        <f t="shared" si="162"/>
        <v>7.2331464542396642</v>
      </c>
      <c r="BS143" s="342">
        <f t="shared" si="162"/>
        <v>10.576098748527384</v>
      </c>
      <c r="BT143" s="342">
        <f t="shared" si="162"/>
        <v>10.425242735063591</v>
      </c>
      <c r="BU143" s="342">
        <f t="shared" si="162"/>
        <v>7.9669896592536844</v>
      </c>
      <c r="BV143" s="342">
        <f t="shared" si="162"/>
        <v>7.9437614068207143</v>
      </c>
      <c r="BW143" s="342">
        <f t="shared" si="162"/>
        <v>8.5306328084883134</v>
      </c>
      <c r="BX143" s="342">
        <f t="shared" si="162"/>
        <v>7.0186969954378471</v>
      </c>
      <c r="BY143" s="342">
        <f t="shared" si="162"/>
        <v>6.7057290342340306</v>
      </c>
      <c r="BZ143" s="342">
        <f t="shared" si="162"/>
        <v>7.7315413276116542</v>
      </c>
      <c r="CA143" s="342">
        <f t="shared" si="162"/>
        <v>6.929751370178713</v>
      </c>
      <c r="CB143" s="342">
        <f t="shared" si="162"/>
        <v>9.363766145621728</v>
      </c>
      <c r="CC143" s="342">
        <f t="shared" si="162"/>
        <v>10.415011874944494</v>
      </c>
      <c r="CD143" s="342">
        <f t="shared" si="162"/>
        <v>11.381645236005712</v>
      </c>
      <c r="CE143" s="342">
        <f t="shared" si="162"/>
        <v>11.459307503326182</v>
      </c>
      <c r="CF143" s="346">
        <f t="shared" ref="CF143" si="163">+CF141/CF60</f>
        <v>10.040484536717075</v>
      </c>
      <c r="CG143" s="474"/>
      <c r="CH143" s="457"/>
      <c r="CI143" s="457"/>
      <c r="CJ143" s="457"/>
      <c r="CK143" s="457"/>
      <c r="CL143" s="457"/>
      <c r="CM143" s="457"/>
      <c r="CN143" s="457"/>
      <c r="CO143" s="457"/>
      <c r="CP143" s="457"/>
      <c r="CQ143" s="474"/>
    </row>
    <row r="144" spans="1:95" s="475" customFormat="1" x14ac:dyDescent="0.2">
      <c r="A144" s="338" t="s">
        <v>183</v>
      </c>
      <c r="B144" s="339"/>
      <c r="C144" s="340">
        <f t="shared" ref="C144:AH144" si="164">C141/C88</f>
        <v>5.0753470860655743E-2</v>
      </c>
      <c r="D144" s="340">
        <f t="shared" si="164"/>
        <v>3.9008597768460676E-2</v>
      </c>
      <c r="E144" s="340">
        <f t="shared" si="164"/>
        <v>2.9258143999776842E-2</v>
      </c>
      <c r="F144" s="340">
        <f t="shared" si="164"/>
        <v>4.6508794139569556E-2</v>
      </c>
      <c r="G144" s="340">
        <f t="shared" si="164"/>
        <v>3.7144602754710244E-2</v>
      </c>
      <c r="H144" s="340">
        <f t="shared" si="164"/>
        <v>4.1134861309357389E-2</v>
      </c>
      <c r="I144" s="340">
        <f t="shared" si="164"/>
        <v>4.7817256934414694E-2</v>
      </c>
      <c r="J144" s="340">
        <f t="shared" si="164"/>
        <v>5.3120619429787609E-2</v>
      </c>
      <c r="K144" s="340">
        <f t="shared" si="164"/>
        <v>5.2200914079134811E-2</v>
      </c>
      <c r="L144" s="340">
        <f t="shared" si="164"/>
        <v>4.4891279819803953E-2</v>
      </c>
      <c r="M144" s="340">
        <f t="shared" si="164"/>
        <v>5.0367219214712253E-2</v>
      </c>
      <c r="N144" s="340">
        <f t="shared" si="164"/>
        <v>6.5485809390536456E-2</v>
      </c>
      <c r="O144" s="340">
        <f t="shared" si="164"/>
        <v>6.667089083436821E-2</v>
      </c>
      <c r="P144" s="340">
        <f t="shared" si="164"/>
        <v>5.7066770932235715E-2</v>
      </c>
      <c r="Q144" s="340">
        <f t="shared" si="164"/>
        <v>5.2596937098294071E-2</v>
      </c>
      <c r="R144" s="340">
        <f t="shared" si="164"/>
        <v>6.5395453993757943E-2</v>
      </c>
      <c r="S144" s="340">
        <f t="shared" si="164"/>
        <v>7.7547833525690876E-2</v>
      </c>
      <c r="T144" s="340">
        <f t="shared" si="164"/>
        <v>6.7251895200783549E-2</v>
      </c>
      <c r="U144" s="340">
        <f t="shared" si="164"/>
        <v>6.567832788752552E-2</v>
      </c>
      <c r="V144" s="340">
        <f t="shared" si="164"/>
        <v>8.5319874048855479E-2</v>
      </c>
      <c r="W144" s="340">
        <f t="shared" si="164"/>
        <v>9.2082072746778904E-2</v>
      </c>
      <c r="X144" s="340">
        <f t="shared" si="164"/>
        <v>0.10076571640545806</v>
      </c>
      <c r="Y144" s="340">
        <f t="shared" si="164"/>
        <v>8.9030419150978077E-2</v>
      </c>
      <c r="Z144" s="340">
        <f t="shared" si="164"/>
        <v>7.4358410280572967E-2</v>
      </c>
      <c r="AA144" s="340">
        <f t="shared" si="164"/>
        <v>6.8066354272699914E-2</v>
      </c>
      <c r="AB144" s="340">
        <f t="shared" si="164"/>
        <v>6.7353114935595523E-2</v>
      </c>
      <c r="AC144" s="340">
        <f t="shared" si="164"/>
        <v>6.297150757473155E-2</v>
      </c>
      <c r="AD144" s="340">
        <f t="shared" si="164"/>
        <v>7.6371295758280069E-2</v>
      </c>
      <c r="AE144" s="340">
        <f t="shared" si="164"/>
        <v>7.5426749962687362E-2</v>
      </c>
      <c r="AF144" s="340">
        <f t="shared" si="164"/>
        <v>5.4670961534284655E-2</v>
      </c>
      <c r="AG144" s="340">
        <f t="shared" si="164"/>
        <v>5.4255698887600817E-2</v>
      </c>
      <c r="AH144" s="340">
        <f t="shared" si="164"/>
        <v>5.4537483905538454E-2</v>
      </c>
      <c r="AI144" s="340">
        <f t="shared" ref="AI144:BN144" si="165">AI141/AI88</f>
        <v>6.0531396255151408E-2</v>
      </c>
      <c r="AJ144" s="340">
        <f t="shared" si="165"/>
        <v>6.7484892195767199E-2</v>
      </c>
      <c r="AK144" s="340">
        <f t="shared" si="165"/>
        <v>6.8686450809464505E-2</v>
      </c>
      <c r="AL144" s="340">
        <f t="shared" si="165"/>
        <v>7.2129942489483581E-2</v>
      </c>
      <c r="AM144" s="340">
        <f t="shared" si="165"/>
        <v>6.9007681818790065E-2</v>
      </c>
      <c r="AN144" s="340">
        <f t="shared" si="165"/>
        <v>8.2608271225509025E-2</v>
      </c>
      <c r="AO144" s="340">
        <f t="shared" si="165"/>
        <v>8.201037045057899E-2</v>
      </c>
      <c r="AP144" s="340">
        <f t="shared" si="165"/>
        <v>7.6168636030225056E-2</v>
      </c>
      <c r="AQ144" s="340">
        <f t="shared" si="165"/>
        <v>7.5150349553281273E-2</v>
      </c>
      <c r="AR144" s="340">
        <f t="shared" si="165"/>
        <v>6.256931115731508E-2</v>
      </c>
      <c r="AS144" s="340">
        <f t="shared" si="165"/>
        <v>6.3619621203422724E-2</v>
      </c>
      <c r="AT144" s="340">
        <f t="shared" si="165"/>
        <v>6.0550510673074417E-2</v>
      </c>
      <c r="AU144" s="340">
        <f t="shared" si="165"/>
        <v>6.1630488111986494E-2</v>
      </c>
      <c r="AV144" s="340">
        <f t="shared" si="165"/>
        <v>5.0342841913976644E-2</v>
      </c>
      <c r="AW144" s="340">
        <f t="shared" si="165"/>
        <v>4.9191705545355041E-2</v>
      </c>
      <c r="AX144" s="340">
        <f t="shared" si="165"/>
        <v>4.2821027986105625E-2</v>
      </c>
      <c r="AY144" s="340">
        <f t="shared" si="165"/>
        <v>5.2387232382611219E-2</v>
      </c>
      <c r="AZ144" s="340">
        <f t="shared" si="165"/>
        <v>4.0565075516587196E-2</v>
      </c>
      <c r="BA144" s="340">
        <f t="shared" si="165"/>
        <v>5.1514505722156489E-2</v>
      </c>
      <c r="BB144" s="340">
        <f t="shared" si="165"/>
        <v>5.2093931535466716E-2</v>
      </c>
      <c r="BC144" s="340">
        <f t="shared" si="165"/>
        <v>5.698298188092156E-2</v>
      </c>
      <c r="BD144" s="340">
        <f t="shared" si="165"/>
        <v>6.0056673079923038E-2</v>
      </c>
      <c r="BE144" s="340">
        <f t="shared" si="165"/>
        <v>5.0830753952876367E-2</v>
      </c>
      <c r="BF144" s="340">
        <f t="shared" si="165"/>
        <v>5.0581499202378422E-2</v>
      </c>
      <c r="BG144" s="340">
        <f t="shared" si="165"/>
        <v>4.9852400089057426E-2</v>
      </c>
      <c r="BH144" s="340">
        <f t="shared" si="165"/>
        <v>5.0328474497980544E-2</v>
      </c>
      <c r="BI144" s="340">
        <f t="shared" si="165"/>
        <v>5.7072870558224451E-2</v>
      </c>
      <c r="BJ144" s="340">
        <f t="shared" si="165"/>
        <v>5.4412413224062275E-2</v>
      </c>
      <c r="BK144" s="340">
        <f t="shared" si="165"/>
        <v>5.4300183764395223E-2</v>
      </c>
      <c r="BL144" s="340">
        <f t="shared" si="165"/>
        <v>4.681831644960871E-2</v>
      </c>
      <c r="BM144" s="340">
        <f t="shared" si="165"/>
        <v>4.3898287352231502E-2</v>
      </c>
      <c r="BN144" s="340">
        <f t="shared" si="165"/>
        <v>4.604136493759016E-2</v>
      </c>
      <c r="BO144" s="340">
        <f t="shared" ref="BO144:CE144" si="166">BO141/BO88</f>
        <v>3.9414562870881922E-2</v>
      </c>
      <c r="BP144" s="340">
        <f t="shared" si="166"/>
        <v>4.0605831335428326E-2</v>
      </c>
      <c r="BQ144" s="340">
        <f t="shared" si="166"/>
        <v>3.6425325329742103E-2</v>
      </c>
      <c r="BR144" s="340">
        <f t="shared" si="166"/>
        <v>3.6481332214552631E-2</v>
      </c>
      <c r="BS144" s="340">
        <f t="shared" si="166"/>
        <v>4.5733898553967325E-2</v>
      </c>
      <c r="BT144" s="340">
        <f t="shared" si="166"/>
        <v>4.4924553449044904E-2</v>
      </c>
      <c r="BU144" s="340">
        <f t="shared" si="166"/>
        <v>3.7024602025702333E-2</v>
      </c>
      <c r="BV144" s="340">
        <f t="shared" si="166"/>
        <v>4.2748419445560605E-2</v>
      </c>
      <c r="BW144" s="340">
        <f t="shared" si="166"/>
        <v>3.5984781390881022E-2</v>
      </c>
      <c r="BX144" s="340">
        <f t="shared" si="166"/>
        <v>2.9869721713690643E-2</v>
      </c>
      <c r="BY144" s="340">
        <f t="shared" si="166"/>
        <v>3.2707960735361509E-2</v>
      </c>
      <c r="BZ144" s="340">
        <f t="shared" si="166"/>
        <v>3.6888917348488003E-2</v>
      </c>
      <c r="CA144" s="340">
        <f t="shared" si="166"/>
        <v>3.4586436933566986E-2</v>
      </c>
      <c r="CB144" s="340">
        <f t="shared" si="166"/>
        <v>4.5764405589311392E-2</v>
      </c>
      <c r="CC144" s="340">
        <f t="shared" si="166"/>
        <v>5.2978069410456019E-2</v>
      </c>
      <c r="CD144" s="340">
        <f t="shared" si="166"/>
        <v>6.328432201287118E-2</v>
      </c>
      <c r="CE144" s="340">
        <f t="shared" si="166"/>
        <v>6.4308989907040814E-2</v>
      </c>
      <c r="CF144" s="341">
        <f t="shared" ref="CF144" si="167">CF141/CF88</f>
        <v>5.7957957784346481E-2</v>
      </c>
      <c r="CG144" s="474"/>
      <c r="CH144" s="457"/>
      <c r="CI144" s="457"/>
      <c r="CJ144" s="457"/>
      <c r="CK144" s="457"/>
      <c r="CL144" s="457"/>
      <c r="CM144" s="457"/>
      <c r="CN144" s="457"/>
      <c r="CO144" s="457"/>
      <c r="CP144" s="457"/>
      <c r="CQ144" s="474"/>
    </row>
    <row r="145" spans="1:95" ht="15" x14ac:dyDescent="0.2">
      <c r="A145" s="35" t="s">
        <v>224</v>
      </c>
      <c r="B145" s="36"/>
      <c r="C145" s="37">
        <v>104947855</v>
      </c>
      <c r="D145" s="37">
        <v>104947855</v>
      </c>
      <c r="E145" s="37">
        <v>127077390</v>
      </c>
      <c r="F145" s="37">
        <v>133114370</v>
      </c>
      <c r="G145" s="37">
        <v>133114370</v>
      </c>
      <c r="H145" s="37">
        <v>133114370</v>
      </c>
      <c r="I145" s="37">
        <v>133114370</v>
      </c>
      <c r="J145" s="37">
        <v>133114370</v>
      </c>
      <c r="K145" s="37">
        <v>133114370</v>
      </c>
      <c r="L145" s="37">
        <v>133114370</v>
      </c>
      <c r="M145" s="37">
        <v>133114370</v>
      </c>
      <c r="N145" s="37">
        <v>133114370</v>
      </c>
      <c r="O145" s="37">
        <v>133114370</v>
      </c>
      <c r="P145" s="37">
        <v>133114370</v>
      </c>
      <c r="Q145" s="37">
        <v>133114370</v>
      </c>
      <c r="R145" s="37">
        <v>133114370</v>
      </c>
      <c r="S145" s="37">
        <v>137328370</v>
      </c>
      <c r="T145" s="37">
        <v>137328370</v>
      </c>
      <c r="U145" s="37">
        <v>137328370</v>
      </c>
      <c r="V145" s="37">
        <v>137328370</v>
      </c>
      <c r="W145" s="37">
        <v>137328370</v>
      </c>
      <c r="X145" s="37">
        <v>137328370</v>
      </c>
      <c r="Y145" s="37">
        <v>137328370</v>
      </c>
      <c r="Z145" s="37">
        <v>137328370</v>
      </c>
      <c r="AA145" s="37">
        <v>137328370</v>
      </c>
      <c r="AB145" s="37">
        <v>137328370</v>
      </c>
      <c r="AC145" s="38">
        <v>137328370</v>
      </c>
      <c r="AD145" s="38">
        <v>135800000</v>
      </c>
      <c r="AE145" s="38">
        <v>135800000</v>
      </c>
      <c r="AF145" s="38">
        <v>136799225</v>
      </c>
      <c r="AG145" s="38">
        <v>137480550</v>
      </c>
      <c r="AH145" s="38">
        <v>137888050</v>
      </c>
      <c r="AI145" s="46">
        <v>137888050</v>
      </c>
      <c r="AJ145" s="37">
        <v>137888050</v>
      </c>
      <c r="AK145" s="46">
        <v>137888050</v>
      </c>
      <c r="AL145" s="37">
        <v>137888050</v>
      </c>
      <c r="AM145" s="38">
        <v>137888050</v>
      </c>
      <c r="AN145" s="37">
        <v>138728600</v>
      </c>
      <c r="AO145" s="37">
        <v>139344850</v>
      </c>
      <c r="AP145" s="37">
        <v>139787350</v>
      </c>
      <c r="AQ145" s="37">
        <v>139787350</v>
      </c>
      <c r="AR145" s="37">
        <v>142690365</v>
      </c>
      <c r="AS145" s="39">
        <v>141898910</v>
      </c>
      <c r="AT145" s="38">
        <v>141312745</v>
      </c>
      <c r="AU145" s="46">
        <v>141312745</v>
      </c>
      <c r="AV145" s="45">
        <v>144368735</v>
      </c>
      <c r="AW145" s="45">
        <v>144368735</v>
      </c>
      <c r="AX145" s="45">
        <v>144368735</v>
      </c>
      <c r="AY145" s="45">
        <v>144368735</v>
      </c>
      <c r="AZ145" s="45">
        <v>144368735</v>
      </c>
      <c r="BA145" s="45">
        <v>144368735</v>
      </c>
      <c r="BB145" s="45">
        <v>144368735</v>
      </c>
      <c r="BC145" s="45">
        <v>144368735</v>
      </c>
      <c r="BD145" s="45">
        <v>144368735</v>
      </c>
      <c r="BE145" s="45">
        <v>144368735</v>
      </c>
      <c r="BF145" s="45">
        <v>144368735</v>
      </c>
      <c r="BG145" s="45">
        <v>144368735</v>
      </c>
      <c r="BH145" s="45">
        <v>146720440</v>
      </c>
      <c r="BI145" s="38">
        <v>146720440</v>
      </c>
      <c r="BJ145" s="37">
        <v>146720440</v>
      </c>
      <c r="BK145" s="37">
        <v>146720440</v>
      </c>
      <c r="BL145" s="37">
        <v>149194610</v>
      </c>
      <c r="BM145" s="37">
        <v>149194610</v>
      </c>
      <c r="BN145" s="37">
        <v>149194610</v>
      </c>
      <c r="BO145" s="37">
        <v>149194610</v>
      </c>
      <c r="BP145" s="39">
        <v>149194610</v>
      </c>
      <c r="BQ145" s="37">
        <v>149981110</v>
      </c>
      <c r="BR145" s="37">
        <v>149981110</v>
      </c>
      <c r="BS145" s="37">
        <v>149981110</v>
      </c>
      <c r="BT145" s="37">
        <v>149981110</v>
      </c>
      <c r="BU145" s="37">
        <v>151364980</v>
      </c>
      <c r="BV145" s="37">
        <v>151364980</v>
      </c>
      <c r="BW145" s="38">
        <v>151364980</v>
      </c>
      <c r="BX145" s="38">
        <v>151364980</v>
      </c>
      <c r="BY145" s="38">
        <v>153786322</v>
      </c>
      <c r="BZ145" s="37">
        <v>153786322</v>
      </c>
      <c r="CA145" s="37">
        <v>153786322</v>
      </c>
      <c r="CB145" s="37">
        <v>153786322</v>
      </c>
      <c r="CC145" s="292">
        <v>154954010</v>
      </c>
      <c r="CD145" s="292">
        <v>154954010</v>
      </c>
      <c r="CE145" s="292">
        <v>154954010</v>
      </c>
      <c r="CF145" s="203">
        <v>154954010</v>
      </c>
      <c r="CG145" s="502"/>
      <c r="CH145" s="457"/>
      <c r="CI145" s="457"/>
      <c r="CJ145" s="457"/>
      <c r="CK145" s="457"/>
      <c r="CL145" s="457"/>
      <c r="CM145" s="457"/>
      <c r="CN145" s="457"/>
      <c r="CO145" s="457"/>
      <c r="CP145" s="457"/>
    </row>
    <row r="146" spans="1:95" ht="15" x14ac:dyDescent="0.2">
      <c r="A146" s="43" t="s">
        <v>225</v>
      </c>
      <c r="B146" s="44"/>
      <c r="C146" s="45">
        <v>104947855</v>
      </c>
      <c r="D146" s="45">
        <v>104947855</v>
      </c>
      <c r="E146" s="45">
        <v>109801545</v>
      </c>
      <c r="F146" s="45">
        <v>114485675</v>
      </c>
      <c r="G146" s="45">
        <v>133114370</v>
      </c>
      <c r="H146" s="45">
        <v>133114370</v>
      </c>
      <c r="I146" s="45">
        <v>133114370</v>
      </c>
      <c r="J146" s="45">
        <v>133114370</v>
      </c>
      <c r="K146" s="45">
        <v>133114370</v>
      </c>
      <c r="L146" s="45">
        <v>133114370</v>
      </c>
      <c r="M146" s="45">
        <v>133114370</v>
      </c>
      <c r="N146" s="45">
        <v>133114370</v>
      </c>
      <c r="O146" s="45">
        <v>133114370</v>
      </c>
      <c r="P146" s="45">
        <v>133114370</v>
      </c>
      <c r="Q146" s="45">
        <v>133114370</v>
      </c>
      <c r="R146" s="45">
        <v>133114370</v>
      </c>
      <c r="S146" s="45">
        <v>135221370</v>
      </c>
      <c r="T146" s="45">
        <v>137328370</v>
      </c>
      <c r="U146" s="45">
        <v>137328370</v>
      </c>
      <c r="V146" s="45">
        <v>137328370</v>
      </c>
      <c r="W146" s="45">
        <v>137328370</v>
      </c>
      <c r="X146" s="45">
        <v>137328370</v>
      </c>
      <c r="Y146" s="45">
        <v>137328370</v>
      </c>
      <c r="Z146" s="45">
        <v>137328370</v>
      </c>
      <c r="AA146" s="45">
        <v>137328370</v>
      </c>
      <c r="AB146" s="45">
        <v>137328370</v>
      </c>
      <c r="AC146" s="46">
        <v>137328370</v>
      </c>
      <c r="AD146" s="46">
        <v>136565000</v>
      </c>
      <c r="AE146" s="46">
        <v>135800000</v>
      </c>
      <c r="AF146" s="46">
        <v>136299612.5</v>
      </c>
      <c r="AG146" s="46">
        <v>137139887.5</v>
      </c>
      <c r="AH146" s="46">
        <v>137684300</v>
      </c>
      <c r="AI146" s="46">
        <v>137888050</v>
      </c>
      <c r="AJ146" s="45">
        <v>137888050</v>
      </c>
      <c r="AK146" s="46">
        <v>137888050</v>
      </c>
      <c r="AL146" s="45">
        <v>137888050</v>
      </c>
      <c r="AM146" s="46">
        <v>137888050</v>
      </c>
      <c r="AN146" s="45">
        <v>138308325</v>
      </c>
      <c r="AO146" s="45">
        <v>139011650</v>
      </c>
      <c r="AP146" s="45">
        <v>139715205</v>
      </c>
      <c r="AQ146" s="45">
        <v>139787350</v>
      </c>
      <c r="AR146" s="45">
        <v>141310475</v>
      </c>
      <c r="AS146" s="47">
        <v>142425485</v>
      </c>
      <c r="AT146" s="46">
        <v>141704525</v>
      </c>
      <c r="AU146" s="46">
        <v>141312745</v>
      </c>
      <c r="AV146" s="45">
        <v>143235665</v>
      </c>
      <c r="AW146" s="45">
        <v>144368735</v>
      </c>
      <c r="AX146" s="45">
        <v>144368735</v>
      </c>
      <c r="AY146" s="45">
        <v>144368735</v>
      </c>
      <c r="AZ146" s="45">
        <v>144368735</v>
      </c>
      <c r="BA146" s="45">
        <v>144368735</v>
      </c>
      <c r="BB146" s="45">
        <v>144368735</v>
      </c>
      <c r="BC146" s="45">
        <v>144368735</v>
      </c>
      <c r="BD146" s="45">
        <v>144368735</v>
      </c>
      <c r="BE146" s="45">
        <v>144368735</v>
      </c>
      <c r="BF146" s="45">
        <v>144368735</v>
      </c>
      <c r="BG146" s="45">
        <v>144368735</v>
      </c>
      <c r="BH146" s="45">
        <v>145590258.02197802</v>
      </c>
      <c r="BI146" s="46">
        <v>146720440</v>
      </c>
      <c r="BJ146" s="45">
        <v>146720440</v>
      </c>
      <c r="BK146" s="45">
        <v>146720440</v>
      </c>
      <c r="BL146" s="45">
        <v>148073553.84615386</v>
      </c>
      <c r="BM146" s="45">
        <v>149194610</v>
      </c>
      <c r="BN146" s="37">
        <v>149194610</v>
      </c>
      <c r="BO146" s="37">
        <v>149194610</v>
      </c>
      <c r="BP146" s="39">
        <v>149194610</v>
      </c>
      <c r="BQ146" s="37">
        <v>149416257.28260869</v>
      </c>
      <c r="BR146" s="37">
        <v>149981110</v>
      </c>
      <c r="BS146" s="37">
        <v>149981110</v>
      </c>
      <c r="BT146" s="37">
        <v>149981110</v>
      </c>
      <c r="BU146" s="37">
        <v>150386710.54347825</v>
      </c>
      <c r="BV146" s="37">
        <v>151364980</v>
      </c>
      <c r="BW146" s="38">
        <v>151364980</v>
      </c>
      <c r="BX146" s="38">
        <v>151364980</v>
      </c>
      <c r="BY146" s="38">
        <v>151917677.63043478</v>
      </c>
      <c r="BZ146" s="37">
        <v>153786322</v>
      </c>
      <c r="CA146" s="37">
        <v>153786322</v>
      </c>
      <c r="CB146" s="37">
        <v>153786322</v>
      </c>
      <c r="CC146" s="292">
        <v>154065551.73913044</v>
      </c>
      <c r="CD146" s="292">
        <v>154954010</v>
      </c>
      <c r="CE146" s="292">
        <v>154954010</v>
      </c>
      <c r="CF146" s="203">
        <v>154954010</v>
      </c>
      <c r="CH146" s="457"/>
      <c r="CI146" s="457"/>
      <c r="CJ146" s="457"/>
      <c r="CK146" s="457"/>
      <c r="CL146" s="457"/>
      <c r="CM146" s="457"/>
      <c r="CN146" s="457"/>
      <c r="CO146" s="457"/>
      <c r="CP146" s="457"/>
    </row>
    <row r="147" spans="1:95" ht="15" x14ac:dyDescent="0.2">
      <c r="A147" s="104" t="s">
        <v>226</v>
      </c>
      <c r="B147" s="105"/>
      <c r="C147" s="106">
        <v>110015900</v>
      </c>
      <c r="D147" s="106">
        <v>110461405</v>
      </c>
      <c r="E147" s="106">
        <v>127196390</v>
      </c>
      <c r="F147" s="106">
        <v>114735050</v>
      </c>
      <c r="G147" s="106">
        <v>133146290</v>
      </c>
      <c r="H147" s="106">
        <v>133122350</v>
      </c>
      <c r="I147" s="106">
        <v>133377230</v>
      </c>
      <c r="J147" s="106">
        <v>133517520</v>
      </c>
      <c r="K147" s="106">
        <v>133535020</v>
      </c>
      <c r="L147" s="106">
        <v>133500250</v>
      </c>
      <c r="M147" s="106">
        <v>133803365</v>
      </c>
      <c r="N147" s="106">
        <v>134693780</v>
      </c>
      <c r="O147" s="106">
        <v>135412700</v>
      </c>
      <c r="P147" s="106">
        <v>135583485</v>
      </c>
      <c r="Q147" s="106">
        <v>135474195</v>
      </c>
      <c r="R147" s="106">
        <v>135655650</v>
      </c>
      <c r="S147" s="106">
        <v>135221370</v>
      </c>
      <c r="T147" s="106">
        <v>137328370</v>
      </c>
      <c r="U147" s="106">
        <v>137435230</v>
      </c>
      <c r="V147" s="106">
        <v>137717385</v>
      </c>
      <c r="W147" s="106">
        <v>138075025</v>
      </c>
      <c r="X147" s="106">
        <v>138281645</v>
      </c>
      <c r="Y147" s="106">
        <v>138280925</v>
      </c>
      <c r="Z147" s="106">
        <v>138235875</v>
      </c>
      <c r="AA147" s="106">
        <v>138260005</v>
      </c>
      <c r="AB147" s="106">
        <v>138334905</v>
      </c>
      <c r="AC147" s="107">
        <v>138340000</v>
      </c>
      <c r="AD147" s="107">
        <v>137680000</v>
      </c>
      <c r="AE147" s="107">
        <v>136985000</v>
      </c>
      <c r="AF147" s="107">
        <v>137065000</v>
      </c>
      <c r="AG147" s="107">
        <v>137580000</v>
      </c>
      <c r="AH147" s="107">
        <v>137930000</v>
      </c>
      <c r="AI147" s="107">
        <v>137895000</v>
      </c>
      <c r="AJ147" s="106">
        <v>138075695</v>
      </c>
      <c r="AK147" s="108">
        <v>138365000</v>
      </c>
      <c r="AL147" s="106">
        <v>138699850</v>
      </c>
      <c r="AM147" s="107">
        <v>139003000</v>
      </c>
      <c r="AN147" s="106">
        <v>139806660</v>
      </c>
      <c r="AO147" s="106">
        <v>141654230</v>
      </c>
      <c r="AP147" s="106">
        <v>142059090</v>
      </c>
      <c r="AQ147" s="106">
        <v>142349395</v>
      </c>
      <c r="AR147" s="106">
        <v>142499035</v>
      </c>
      <c r="AS147" s="108">
        <v>143177410</v>
      </c>
      <c r="AT147" s="107">
        <v>142447975</v>
      </c>
      <c r="AU147" s="107">
        <v>142243180</v>
      </c>
      <c r="AV147" s="106">
        <v>143235665</v>
      </c>
      <c r="AW147" s="106">
        <v>144368735</v>
      </c>
      <c r="AX147" s="106">
        <v>144368735</v>
      </c>
      <c r="AY147" s="106">
        <v>144368735</v>
      </c>
      <c r="AZ147" s="106">
        <v>144368735</v>
      </c>
      <c r="BA147" s="106">
        <v>144368735</v>
      </c>
      <c r="BB147" s="106">
        <v>144999351.05805781</v>
      </c>
      <c r="BC147" s="106">
        <v>145631617.36662787</v>
      </c>
      <c r="BD147" s="106">
        <v>145796835.98360655</v>
      </c>
      <c r="BE147" s="106">
        <v>145794149.4922426</v>
      </c>
      <c r="BF147" s="106">
        <v>145564951.98867422</v>
      </c>
      <c r="BG147" s="106">
        <v>146209172.35725489</v>
      </c>
      <c r="BH147" s="106">
        <v>147060590.64035782</v>
      </c>
      <c r="BI147" s="107">
        <v>148168390.10583609</v>
      </c>
      <c r="BJ147" s="106">
        <v>148304625.04843402</v>
      </c>
      <c r="BK147" s="106">
        <v>148062341.65038735</v>
      </c>
      <c r="BL147" s="106">
        <v>148109198.34875873</v>
      </c>
      <c r="BM147" s="106">
        <v>149194610</v>
      </c>
      <c r="BN147" s="106">
        <v>149459608.80882767</v>
      </c>
      <c r="BO147" s="106">
        <v>149622262.98878318</v>
      </c>
      <c r="BP147" s="108">
        <v>149480204.55966979</v>
      </c>
      <c r="BQ147" s="106">
        <v>149416257.28260869</v>
      </c>
      <c r="BR147" s="106">
        <v>149981110</v>
      </c>
      <c r="BS147" s="106">
        <v>150603867.63068792</v>
      </c>
      <c r="BT147" s="106">
        <v>150597731.07820314</v>
      </c>
      <c r="BU147" s="106">
        <v>150600385.79870433</v>
      </c>
      <c r="BV147" s="106">
        <v>152052933.50225455</v>
      </c>
      <c r="BW147" s="107">
        <v>151571959.31507373</v>
      </c>
      <c r="BX147" s="107">
        <v>151364980</v>
      </c>
      <c r="BY147" s="107">
        <v>151917677.63043478</v>
      </c>
      <c r="BZ147" s="106">
        <v>153786322</v>
      </c>
      <c r="CA147" s="106">
        <v>153991914.65277171</v>
      </c>
      <c r="CB147" s="106">
        <v>155358991.41152841</v>
      </c>
      <c r="CC147" s="304">
        <v>155888241.44196388</v>
      </c>
      <c r="CD147" s="304">
        <v>157129950.34578326</v>
      </c>
      <c r="CE147" s="304">
        <v>158331791.08405057</v>
      </c>
      <c r="CF147" s="331">
        <v>158614675.48101345</v>
      </c>
      <c r="CH147" s="457"/>
      <c r="CI147" s="457"/>
      <c r="CJ147" s="457"/>
      <c r="CK147" s="457"/>
      <c r="CL147" s="457"/>
      <c r="CM147" s="457"/>
      <c r="CN147" s="457"/>
      <c r="CO147" s="457"/>
      <c r="CP147" s="457"/>
    </row>
    <row r="148" spans="1:95" x14ac:dyDescent="0.2">
      <c r="A148" s="10"/>
      <c r="B148" s="11"/>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9"/>
      <c r="AD148" s="29"/>
      <c r="AE148" s="29"/>
      <c r="AF148" s="29"/>
      <c r="AG148" s="29"/>
      <c r="AH148" s="29"/>
      <c r="AI148" s="29"/>
      <c r="AJ148" s="28"/>
      <c r="AK148" s="7"/>
      <c r="AL148" s="28"/>
      <c r="AM148" s="29"/>
      <c r="AN148" s="28"/>
      <c r="AO148" s="28"/>
      <c r="AP148" s="28"/>
      <c r="AQ148" s="28"/>
      <c r="AR148" s="28"/>
      <c r="AS148" s="7"/>
      <c r="AT148" s="29"/>
      <c r="AU148" s="29"/>
      <c r="AV148" s="28"/>
      <c r="AW148" s="28"/>
      <c r="AX148" s="28"/>
      <c r="AY148" s="28"/>
      <c r="AZ148" s="28"/>
      <c r="BA148" s="28"/>
      <c r="BB148" s="28"/>
      <c r="BC148" s="28"/>
      <c r="BD148" s="28"/>
      <c r="BE148" s="28"/>
      <c r="BF148" s="28"/>
      <c r="BG148" s="28"/>
      <c r="BH148" s="28"/>
      <c r="BI148" s="29"/>
      <c r="BJ148" s="28"/>
      <c r="BK148" s="28"/>
      <c r="BL148" s="28"/>
      <c r="BM148" s="28"/>
      <c r="BN148" s="28"/>
      <c r="BO148" s="28"/>
      <c r="BP148" s="7"/>
      <c r="BQ148" s="28"/>
      <c r="BR148" s="28"/>
      <c r="BS148" s="28"/>
      <c r="BT148" s="28"/>
      <c r="BU148" s="28"/>
      <c r="BV148" s="28"/>
      <c r="BW148" s="29"/>
      <c r="BX148" s="29"/>
      <c r="BY148" s="29"/>
      <c r="BZ148" s="28"/>
      <c r="CA148" s="28"/>
      <c r="CB148" s="28"/>
      <c r="CC148" s="291"/>
      <c r="CD148" s="291"/>
      <c r="CE148" s="291"/>
      <c r="CF148" s="34"/>
      <c r="CH148" s="457"/>
      <c r="CI148" s="457"/>
      <c r="CJ148" s="457"/>
      <c r="CK148" s="457"/>
      <c r="CL148" s="457"/>
      <c r="CM148" s="457"/>
      <c r="CN148" s="457"/>
      <c r="CO148" s="457"/>
      <c r="CP148" s="457"/>
    </row>
    <row r="149" spans="1:95" x14ac:dyDescent="0.2">
      <c r="A149" s="237" t="s">
        <v>132</v>
      </c>
      <c r="B149" s="11"/>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6"/>
      <c r="AD149" s="166"/>
      <c r="AE149" s="166"/>
      <c r="AF149" s="166"/>
      <c r="AG149" s="166"/>
      <c r="AH149" s="166"/>
      <c r="AI149" s="166"/>
      <c r="AJ149" s="165"/>
      <c r="AK149" s="167"/>
      <c r="AL149" s="165"/>
      <c r="AM149" s="166"/>
      <c r="AN149" s="165"/>
      <c r="AO149" s="165"/>
      <c r="AP149" s="165"/>
      <c r="AQ149" s="165"/>
      <c r="AR149" s="165"/>
      <c r="AS149" s="166"/>
      <c r="AT149" s="166"/>
      <c r="AU149" s="166"/>
      <c r="AV149" s="165"/>
      <c r="AW149" s="165"/>
      <c r="AX149" s="165"/>
      <c r="AY149" s="165"/>
      <c r="AZ149" s="165"/>
      <c r="BA149" s="165"/>
      <c r="BB149" s="165"/>
      <c r="BC149" s="165"/>
      <c r="BD149" s="165"/>
      <c r="BE149" s="165"/>
      <c r="BF149" s="165"/>
      <c r="BG149" s="165"/>
      <c r="BH149" s="165"/>
      <c r="BI149" s="166"/>
      <c r="BJ149" s="165"/>
      <c r="BK149" s="165"/>
      <c r="BL149" s="165"/>
      <c r="BM149" s="165"/>
      <c r="BN149" s="165"/>
      <c r="BO149" s="165"/>
      <c r="BP149" s="167"/>
      <c r="BQ149" s="165"/>
      <c r="BR149" s="167"/>
      <c r="BS149" s="165"/>
      <c r="BT149" s="165"/>
      <c r="BU149" s="165"/>
      <c r="BV149" s="165"/>
      <c r="BW149" s="166"/>
      <c r="BX149" s="166"/>
      <c r="BY149" s="166"/>
      <c r="BZ149" s="165"/>
      <c r="CA149" s="165"/>
      <c r="CB149" s="165"/>
      <c r="CC149" s="300"/>
      <c r="CD149" s="300"/>
      <c r="CE149" s="300"/>
      <c r="CF149" s="286"/>
      <c r="CH149" s="457"/>
      <c r="CI149" s="457"/>
      <c r="CJ149" s="457"/>
      <c r="CK149" s="457"/>
      <c r="CL149" s="457"/>
      <c r="CM149" s="457"/>
      <c r="CN149" s="457"/>
      <c r="CO149" s="457"/>
      <c r="CP149" s="457"/>
    </row>
    <row r="150" spans="1:95" x14ac:dyDescent="0.2">
      <c r="A150" s="35" t="s">
        <v>137</v>
      </c>
      <c r="B150" s="36"/>
      <c r="C150" s="163">
        <v>6.2199999999999998E-2</v>
      </c>
      <c r="D150" s="163">
        <v>5.6599999999999998E-2</v>
      </c>
      <c r="E150" s="163">
        <v>4.9099999999999998E-2</v>
      </c>
      <c r="F150" s="163">
        <v>5.3900000000000003E-2</v>
      </c>
      <c r="G150" s="163">
        <v>4.9799999999999997E-2</v>
      </c>
      <c r="H150" s="163">
        <v>4.1700000000000001E-2</v>
      </c>
      <c r="I150" s="163">
        <v>0.05</v>
      </c>
      <c r="J150" s="163">
        <v>6.59E-2</v>
      </c>
      <c r="K150" s="163">
        <v>5.5899999999999998E-2</v>
      </c>
      <c r="L150" s="163">
        <v>6.2899999999999998E-2</v>
      </c>
      <c r="M150" s="163">
        <v>7.3700000000000002E-2</v>
      </c>
      <c r="N150" s="163">
        <v>7.8799999999999995E-2</v>
      </c>
      <c r="O150" s="163">
        <v>9.5100000000000004E-2</v>
      </c>
      <c r="P150" s="163">
        <v>7.8399999999999997E-2</v>
      </c>
      <c r="Q150" s="163">
        <v>7.7799999999999994E-2</v>
      </c>
      <c r="R150" s="163">
        <v>8.2199999999999995E-2</v>
      </c>
      <c r="S150" s="163">
        <v>8.9800000000000005E-2</v>
      </c>
      <c r="T150" s="163">
        <v>0.09</v>
      </c>
      <c r="U150" s="163">
        <v>0.1019</v>
      </c>
      <c r="V150" s="163">
        <v>9.7500000000000003E-2</v>
      </c>
      <c r="W150" s="163">
        <v>0.1077</v>
      </c>
      <c r="X150" s="163">
        <v>9.7799999999999998E-2</v>
      </c>
      <c r="Y150" s="163">
        <v>9.7199999999999995E-2</v>
      </c>
      <c r="Z150" s="163">
        <v>9.7699999999999995E-2</v>
      </c>
      <c r="AA150" s="163">
        <v>9.5000000000000001E-2</v>
      </c>
      <c r="AB150" s="163">
        <v>8.2000000000000003E-2</v>
      </c>
      <c r="AC150" s="217">
        <v>7.6999999999999999E-2</v>
      </c>
      <c r="AD150" s="217">
        <v>8.5000000000000006E-2</v>
      </c>
      <c r="AE150" s="217">
        <v>8.5999999999999993E-2</v>
      </c>
      <c r="AF150" s="217">
        <v>8.5000000000000006E-2</v>
      </c>
      <c r="AG150" s="217">
        <v>8.8999999999999996E-2</v>
      </c>
      <c r="AH150" s="217">
        <v>9.9000000000000005E-2</v>
      </c>
      <c r="AI150" s="217">
        <v>0.108</v>
      </c>
      <c r="AJ150" s="163">
        <v>0.124</v>
      </c>
      <c r="AK150" s="218">
        <v>0.125</v>
      </c>
      <c r="AL150" s="163">
        <v>0.11</v>
      </c>
      <c r="AM150" s="217">
        <v>9.8000000000000004E-2</v>
      </c>
      <c r="AN150" s="163">
        <v>8.6999999999999994E-2</v>
      </c>
      <c r="AO150" s="163">
        <v>8.5999999999999993E-2</v>
      </c>
      <c r="AP150" s="163">
        <v>9.4E-2</v>
      </c>
      <c r="AQ150" s="163">
        <v>8.5999999999999993E-2</v>
      </c>
      <c r="AR150" s="163">
        <v>7.3999999999999996E-2</v>
      </c>
      <c r="AS150" s="218">
        <v>6.2E-2</v>
      </c>
      <c r="AT150" s="217">
        <v>6.2E-2</v>
      </c>
      <c r="AU150" s="217">
        <v>6.6000000000000003E-2</v>
      </c>
      <c r="AV150" s="163">
        <v>5.6000000000000001E-2</v>
      </c>
      <c r="AW150" s="163">
        <v>6.3E-2</v>
      </c>
      <c r="AX150" s="163">
        <v>6.9000000000000006E-2</v>
      </c>
      <c r="AY150" s="163">
        <v>7.3999999999999996E-2</v>
      </c>
      <c r="AZ150" s="163">
        <v>6.2E-2</v>
      </c>
      <c r="BA150" s="163">
        <v>0.08</v>
      </c>
      <c r="BB150" s="163">
        <v>7.6999999999999999E-2</v>
      </c>
      <c r="BC150" s="163">
        <v>7.4999999999999997E-2</v>
      </c>
      <c r="BD150" s="163">
        <v>7.3999999999999996E-2</v>
      </c>
      <c r="BE150" s="163">
        <v>0.08</v>
      </c>
      <c r="BF150" s="163">
        <v>7.4999999999999997E-2</v>
      </c>
      <c r="BG150" s="163">
        <v>9.5000000000000001E-2</v>
      </c>
      <c r="BH150" s="163">
        <v>0.10299999999999999</v>
      </c>
      <c r="BI150" s="217">
        <v>0.108</v>
      </c>
      <c r="BJ150" s="163">
        <v>0.13107425719565211</v>
      </c>
      <c r="BK150" s="163">
        <v>0.11270944938492827</v>
      </c>
      <c r="BL150" s="163">
        <v>0.13043124532453723</v>
      </c>
      <c r="BM150" s="163">
        <v>0.152</v>
      </c>
      <c r="BN150" s="163">
        <v>0.14580000000000001</v>
      </c>
      <c r="BO150" s="163">
        <v>0.151</v>
      </c>
      <c r="BP150" s="218">
        <v>0.129</v>
      </c>
      <c r="BQ150" s="163">
        <v>0.14299999999999999</v>
      </c>
      <c r="BR150" s="218">
        <v>0.14352899026637769</v>
      </c>
      <c r="BS150" s="163">
        <v>0.12</v>
      </c>
      <c r="BT150" s="163">
        <v>0.109</v>
      </c>
      <c r="BU150" s="163">
        <v>0.13200000000000001</v>
      </c>
      <c r="BV150" s="163">
        <v>0.11700000000000001</v>
      </c>
      <c r="BW150" s="217">
        <v>0.1317080001324912</v>
      </c>
      <c r="BX150" s="217">
        <v>0.13300000000000001</v>
      </c>
      <c r="BY150" s="217">
        <v>0.13600000000000001</v>
      </c>
      <c r="BZ150" s="163">
        <v>0.14499999999999999</v>
      </c>
      <c r="CA150" s="163">
        <v>0.16600000000000001</v>
      </c>
      <c r="CB150" s="163">
        <v>0.17499999999999999</v>
      </c>
      <c r="CC150" s="163">
        <v>0.19907433330489485</v>
      </c>
      <c r="CD150" s="163">
        <v>0.18268989480426487</v>
      </c>
      <c r="CE150" s="163">
        <v>0.20739521370492456</v>
      </c>
      <c r="CF150" s="261">
        <v>0.19260410336855807</v>
      </c>
      <c r="CH150" s="457"/>
      <c r="CI150" s="457"/>
      <c r="CJ150" s="457"/>
      <c r="CK150" s="457"/>
      <c r="CL150" s="457"/>
      <c r="CM150" s="457"/>
      <c r="CN150" s="457"/>
      <c r="CO150" s="457"/>
      <c r="CP150" s="457"/>
    </row>
    <row r="151" spans="1:95" x14ac:dyDescent="0.2">
      <c r="A151" s="104" t="s">
        <v>138</v>
      </c>
      <c r="B151" s="105"/>
      <c r="C151" s="213">
        <v>8.3999999999999995E-3</v>
      </c>
      <c r="D151" s="213">
        <v>6.3E-3</v>
      </c>
      <c r="E151" s="213">
        <v>7.4000000000000003E-3</v>
      </c>
      <c r="F151" s="213">
        <v>8.9999999999999993E-3</v>
      </c>
      <c r="G151" s="213">
        <v>6.4000000000000003E-3</v>
      </c>
      <c r="H151" s="213">
        <v>5.1000000000000004E-3</v>
      </c>
      <c r="I151" s="213">
        <v>9.2999999999999992E-3</v>
      </c>
      <c r="J151" s="213">
        <v>1.24E-2</v>
      </c>
      <c r="K151" s="213">
        <v>1.18E-2</v>
      </c>
      <c r="L151" s="213">
        <v>1.3599999999999999E-2</v>
      </c>
      <c r="M151" s="213">
        <v>1.54E-2</v>
      </c>
      <c r="N151" s="213">
        <v>1.83E-2</v>
      </c>
      <c r="O151" s="213">
        <v>1.9099999999999999E-2</v>
      </c>
      <c r="P151" s="213">
        <v>1.5699999999999999E-2</v>
      </c>
      <c r="Q151" s="213">
        <v>1.46E-2</v>
      </c>
      <c r="R151" s="213">
        <v>1.6E-2</v>
      </c>
      <c r="S151" s="213">
        <v>1.7299999999999999E-2</v>
      </c>
      <c r="T151" s="213">
        <v>1.8800000000000001E-2</v>
      </c>
      <c r="U151" s="213">
        <v>2.5000000000000001E-2</v>
      </c>
      <c r="V151" s="213">
        <v>2.0500000000000001E-2</v>
      </c>
      <c r="W151" s="213">
        <v>2.53E-2</v>
      </c>
      <c r="X151" s="213">
        <v>2.4799999999999999E-2</v>
      </c>
      <c r="Y151" s="213">
        <v>2.7199999999999998E-2</v>
      </c>
      <c r="Z151" s="213">
        <v>3.0700000000000002E-2</v>
      </c>
      <c r="AA151" s="213">
        <v>2.6800000000000001E-2</v>
      </c>
      <c r="AB151" s="213">
        <v>2.3400000000000001E-2</v>
      </c>
      <c r="AC151" s="214">
        <v>2.9000000000000001E-2</v>
      </c>
      <c r="AD151" s="214">
        <v>3.4000000000000002E-2</v>
      </c>
      <c r="AE151" s="214">
        <v>3.5000000000000003E-2</v>
      </c>
      <c r="AF151" s="214">
        <v>3.5999999999999997E-2</v>
      </c>
      <c r="AG151" s="214">
        <v>3.9E-2</v>
      </c>
      <c r="AH151" s="214">
        <v>4.3999999999999997E-2</v>
      </c>
      <c r="AI151" s="214">
        <v>4.8000000000000001E-2</v>
      </c>
      <c r="AJ151" s="213">
        <v>5.5E-2</v>
      </c>
      <c r="AK151" s="215">
        <v>6.2E-2</v>
      </c>
      <c r="AL151" s="213">
        <v>6.2E-2</v>
      </c>
      <c r="AM151" s="214">
        <v>5.7000000000000002E-2</v>
      </c>
      <c r="AN151" s="213">
        <v>5.2999999999999999E-2</v>
      </c>
      <c r="AO151" s="213">
        <v>5.6000000000000001E-2</v>
      </c>
      <c r="AP151" s="213">
        <v>5.5E-2</v>
      </c>
      <c r="AQ151" s="213">
        <v>5.0999999999999997E-2</v>
      </c>
      <c r="AR151" s="213">
        <v>4.2999999999999997E-2</v>
      </c>
      <c r="AS151" s="215">
        <v>4.2999999999999997E-2</v>
      </c>
      <c r="AT151" s="214">
        <v>4.7E-2</v>
      </c>
      <c r="AU151" s="214">
        <v>4.2999999999999997E-2</v>
      </c>
      <c r="AV151" s="213">
        <v>3.6999999999999998E-2</v>
      </c>
      <c r="AW151" s="213">
        <v>4.2999999999999997E-2</v>
      </c>
      <c r="AX151" s="213">
        <v>4.1000000000000002E-2</v>
      </c>
      <c r="AY151" s="213">
        <v>4.1000000000000002E-2</v>
      </c>
      <c r="AZ151" s="213">
        <v>3.3000000000000002E-2</v>
      </c>
      <c r="BA151" s="213">
        <v>4.5999999999999999E-2</v>
      </c>
      <c r="BB151" s="213">
        <v>4.2999999999999997E-2</v>
      </c>
      <c r="BC151" s="213">
        <v>4.1000000000000002E-2</v>
      </c>
      <c r="BD151" s="213">
        <v>4.2000000000000003E-2</v>
      </c>
      <c r="BE151" s="213">
        <v>4.2999999999999997E-2</v>
      </c>
      <c r="BF151" s="213">
        <v>4.2999999999999997E-2</v>
      </c>
      <c r="BG151" s="213">
        <v>4.9000000000000002E-2</v>
      </c>
      <c r="BH151" s="213">
        <v>5.2999999999999999E-2</v>
      </c>
      <c r="BI151" s="214">
        <v>6.6000000000000003E-2</v>
      </c>
      <c r="BJ151" s="213">
        <v>8.6999999999999994E-2</v>
      </c>
      <c r="BK151" s="213">
        <v>6.6004431749734846E-2</v>
      </c>
      <c r="BL151" s="213">
        <v>6.6341139228859078E-2</v>
      </c>
      <c r="BM151" s="213">
        <v>7.4999999999999997E-2</v>
      </c>
      <c r="BN151" s="213">
        <v>6.4500000000000002E-2</v>
      </c>
      <c r="BO151" s="213">
        <v>6.5000000000000002E-2</v>
      </c>
      <c r="BP151" s="215">
        <v>5.2999999999999999E-2</v>
      </c>
      <c r="BQ151" s="213">
        <v>6.3E-2</v>
      </c>
      <c r="BR151" s="215">
        <v>5.5328741604911115E-2</v>
      </c>
      <c r="BS151" s="213">
        <v>5.6000000000000001E-2</v>
      </c>
      <c r="BT151" s="213">
        <v>4.8000000000000001E-2</v>
      </c>
      <c r="BU151" s="213">
        <v>6.0999999999999999E-2</v>
      </c>
      <c r="BV151" s="213">
        <v>5.6000000000000001E-2</v>
      </c>
      <c r="BW151" s="214">
        <v>5.6834256493256012E-2</v>
      </c>
      <c r="BX151" s="214">
        <v>4.8000000000000001E-2</v>
      </c>
      <c r="BY151" s="214">
        <v>5.1999999999999998E-2</v>
      </c>
      <c r="BZ151" s="213">
        <v>0.06</v>
      </c>
      <c r="CA151" s="213">
        <v>7.5999999999999998E-2</v>
      </c>
      <c r="CB151" s="213">
        <v>8.4000000000000005E-2</v>
      </c>
      <c r="CC151" s="213">
        <v>9.5709772774082838E-2</v>
      </c>
      <c r="CD151" s="213">
        <v>8.3898503403590285E-2</v>
      </c>
      <c r="CE151" s="213">
        <v>9.2004642780004031E-2</v>
      </c>
      <c r="CF151" s="262">
        <v>8.2821048938534689E-2</v>
      </c>
      <c r="CH151" s="457"/>
      <c r="CI151" s="457"/>
      <c r="CJ151" s="457"/>
      <c r="CK151" s="457"/>
      <c r="CL151" s="457"/>
      <c r="CM151" s="457"/>
      <c r="CN151" s="457"/>
      <c r="CO151" s="457"/>
      <c r="CP151" s="457"/>
    </row>
    <row r="152" spans="1:95" x14ac:dyDescent="0.2">
      <c r="A152" s="10"/>
      <c r="B152" s="11"/>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20"/>
      <c r="AD152" s="220"/>
      <c r="AE152" s="220"/>
      <c r="AF152" s="220"/>
      <c r="AG152" s="220"/>
      <c r="AH152" s="220"/>
      <c r="AI152" s="220"/>
      <c r="AJ152" s="219"/>
      <c r="AK152" s="221"/>
      <c r="AL152" s="222"/>
      <c r="AM152" s="220"/>
      <c r="AN152" s="219"/>
      <c r="AO152" s="219"/>
      <c r="AP152" s="219"/>
      <c r="AQ152" s="219"/>
      <c r="AR152" s="219"/>
      <c r="AS152" s="221"/>
      <c r="AT152" s="220"/>
      <c r="AU152" s="220"/>
      <c r="AV152" s="219"/>
      <c r="AW152" s="219"/>
      <c r="AX152" s="219"/>
      <c r="AY152" s="219"/>
      <c r="AZ152" s="219"/>
      <c r="BA152" s="219"/>
      <c r="BB152" s="219"/>
      <c r="BC152" s="219"/>
      <c r="BD152" s="219"/>
      <c r="BE152" s="219"/>
      <c r="BF152" s="219"/>
      <c r="BG152" s="219"/>
      <c r="BH152" s="219"/>
      <c r="BI152" s="220"/>
      <c r="BJ152" s="219"/>
      <c r="BK152" s="219"/>
      <c r="BL152" s="219"/>
      <c r="BM152" s="219"/>
      <c r="BN152" s="219"/>
      <c r="BO152" s="219"/>
      <c r="BP152" s="221"/>
      <c r="BQ152" s="219"/>
      <c r="BR152" s="221"/>
      <c r="BS152" s="219"/>
      <c r="BT152" s="219"/>
      <c r="BU152" s="219"/>
      <c r="BV152" s="219"/>
      <c r="BW152" s="220"/>
      <c r="BX152" s="220"/>
      <c r="BY152" s="220"/>
      <c r="BZ152" s="219"/>
      <c r="CA152" s="219"/>
      <c r="CB152" s="219"/>
      <c r="CC152" s="219"/>
      <c r="CD152" s="219"/>
      <c r="CE152" s="219"/>
      <c r="CF152" s="263"/>
      <c r="CH152" s="457"/>
      <c r="CI152" s="457"/>
      <c r="CJ152" s="457"/>
      <c r="CK152" s="457"/>
      <c r="CL152" s="457"/>
      <c r="CM152" s="457"/>
      <c r="CN152" s="457"/>
      <c r="CO152" s="457"/>
      <c r="CP152" s="457"/>
    </row>
    <row r="153" spans="1:95" x14ac:dyDescent="0.2">
      <c r="A153" s="35" t="s">
        <v>190</v>
      </c>
      <c r="B153" s="36"/>
      <c r="C153" s="37">
        <v>29387</v>
      </c>
      <c r="D153" s="37">
        <v>34759</v>
      </c>
      <c r="E153" s="37">
        <v>62780</v>
      </c>
      <c r="F153" s="37">
        <v>7486</v>
      </c>
      <c r="G153" s="37">
        <v>35835</v>
      </c>
      <c r="H153" s="37">
        <v>55385</v>
      </c>
      <c r="I153" s="37">
        <v>27332</v>
      </c>
      <c r="J153" s="37">
        <v>17699</v>
      </c>
      <c r="K153" s="37">
        <v>50722</v>
      </c>
      <c r="L153" s="37">
        <v>43751</v>
      </c>
      <c r="M153" s="37">
        <v>47881</v>
      </c>
      <c r="N153" s="37">
        <v>26407</v>
      </c>
      <c r="O153" s="37">
        <v>28767</v>
      </c>
      <c r="P153" s="37">
        <v>40602</v>
      </c>
      <c r="Q153" s="37">
        <v>41648</v>
      </c>
      <c r="R153" s="37">
        <v>16641</v>
      </c>
      <c r="S153" s="37">
        <v>45939</v>
      </c>
      <c r="T153" s="37">
        <v>58292</v>
      </c>
      <c r="U153" s="37">
        <v>46772</v>
      </c>
      <c r="V153" s="37">
        <v>17959</v>
      </c>
      <c r="W153" s="37">
        <v>70120</v>
      </c>
      <c r="X153" s="37">
        <v>34248</v>
      </c>
      <c r="Y153" s="37">
        <v>47564</v>
      </c>
      <c r="Z153" s="37">
        <v>401</v>
      </c>
      <c r="AA153" s="37">
        <v>54923</v>
      </c>
      <c r="AB153" s="37">
        <v>80687</v>
      </c>
      <c r="AC153" s="38">
        <v>48824</v>
      </c>
      <c r="AD153" s="37">
        <v>45831</v>
      </c>
      <c r="AE153" s="37">
        <v>30550</v>
      </c>
      <c r="AF153" s="38">
        <v>80222</v>
      </c>
      <c r="AG153" s="38">
        <v>45444</v>
      </c>
      <c r="AH153" s="38">
        <v>65468</v>
      </c>
      <c r="AI153" s="38">
        <v>32279</v>
      </c>
      <c r="AJ153" s="37">
        <v>74327</v>
      </c>
      <c r="AK153" s="37">
        <v>38242</v>
      </c>
      <c r="AL153" s="40">
        <v>49637</v>
      </c>
      <c r="AM153" s="38">
        <v>30749</v>
      </c>
      <c r="AN153" s="37">
        <v>63313</v>
      </c>
      <c r="AO153" s="37">
        <v>35276</v>
      </c>
      <c r="AP153" s="37">
        <v>35819</v>
      </c>
      <c r="AQ153" s="37">
        <v>19533</v>
      </c>
      <c r="AR153" s="37">
        <v>53180</v>
      </c>
      <c r="AS153" s="38">
        <v>32986</v>
      </c>
      <c r="AT153" s="38">
        <v>31589</v>
      </c>
      <c r="AU153" s="38">
        <v>47781</v>
      </c>
      <c r="AV153" s="37">
        <v>84936</v>
      </c>
      <c r="AW153" s="37">
        <v>42360</v>
      </c>
      <c r="AX153" s="37">
        <v>18970</v>
      </c>
      <c r="AY153" s="37">
        <v>52525</v>
      </c>
      <c r="AZ153" s="37">
        <v>76094</v>
      </c>
      <c r="BA153" s="37">
        <v>28005</v>
      </c>
      <c r="BB153" s="37">
        <v>43638.434924178189</v>
      </c>
      <c r="BC153" s="37">
        <v>41867</v>
      </c>
      <c r="BD153" s="37">
        <v>84137</v>
      </c>
      <c r="BE153" s="37">
        <v>37844</v>
      </c>
      <c r="BF153" s="37">
        <v>76776</v>
      </c>
      <c r="BG153" s="37">
        <v>45862</v>
      </c>
      <c r="BH153" s="37">
        <v>119437</v>
      </c>
      <c r="BI153" s="38">
        <v>56601</v>
      </c>
      <c r="BJ153" s="37">
        <v>63067</v>
      </c>
      <c r="BK153" s="37">
        <v>42769</v>
      </c>
      <c r="BL153" s="37">
        <v>119428</v>
      </c>
      <c r="BM153" s="37">
        <v>53815</v>
      </c>
      <c r="BN153" s="37">
        <v>42560</v>
      </c>
      <c r="BO153" s="37">
        <v>49471</v>
      </c>
      <c r="BP153" s="37">
        <v>105517</v>
      </c>
      <c r="BQ153" s="37">
        <v>64147</v>
      </c>
      <c r="BR153" s="37">
        <v>36167</v>
      </c>
      <c r="BS153" s="37">
        <v>59719</v>
      </c>
      <c r="BT153" s="37">
        <v>86601</v>
      </c>
      <c r="BU153" s="37">
        <v>52430</v>
      </c>
      <c r="BV153" s="37">
        <v>38794</v>
      </c>
      <c r="BW153" s="38">
        <v>36465</v>
      </c>
      <c r="BX153" s="38">
        <v>111091</v>
      </c>
      <c r="BY153" s="38">
        <v>46772</v>
      </c>
      <c r="BZ153" s="37">
        <v>32798</v>
      </c>
      <c r="CA153" s="37">
        <v>81899</v>
      </c>
      <c r="CB153" s="37">
        <v>155068</v>
      </c>
      <c r="CC153" s="292">
        <v>78057</v>
      </c>
      <c r="CD153" s="292">
        <v>102115</v>
      </c>
      <c r="CE153" s="292">
        <v>128919</v>
      </c>
      <c r="CF153" s="494" t="s">
        <v>244</v>
      </c>
      <c r="CH153" s="457"/>
      <c r="CI153" s="457"/>
      <c r="CJ153" s="457"/>
      <c r="CK153" s="457"/>
      <c r="CL153" s="457"/>
      <c r="CM153" s="457"/>
      <c r="CN153" s="457"/>
      <c r="CO153" s="457"/>
      <c r="CP153" s="457"/>
    </row>
    <row r="154" spans="1:95" x14ac:dyDescent="0.2">
      <c r="A154" s="43" t="s">
        <v>192</v>
      </c>
      <c r="B154" s="44"/>
      <c r="C154" s="95" t="s">
        <v>50</v>
      </c>
      <c r="D154" s="95" t="s">
        <v>50</v>
      </c>
      <c r="E154" s="95" t="s">
        <v>50</v>
      </c>
      <c r="F154" s="95" t="s">
        <v>50</v>
      </c>
      <c r="G154" s="95" t="s">
        <v>50</v>
      </c>
      <c r="H154" s="95" t="s">
        <v>50</v>
      </c>
      <c r="I154" s="95" t="s">
        <v>50</v>
      </c>
      <c r="J154" s="95" t="s">
        <v>50</v>
      </c>
      <c r="K154" s="132">
        <f t="shared" ref="K154:AP154" si="168">(K80+(K100-J100))/K153</f>
        <v>6.9350577658609672E-3</v>
      </c>
      <c r="L154" s="132">
        <f t="shared" si="168"/>
        <v>4.4492240177367373E-3</v>
      </c>
      <c r="M154" s="132">
        <f t="shared" si="168"/>
        <v>1.2810216996303334E-2</v>
      </c>
      <c r="N154" s="132">
        <f t="shared" si="168"/>
        <v>2.8068996856894009E-2</v>
      </c>
      <c r="O154" s="132">
        <f t="shared" si="168"/>
        <v>4.9035770153300663E-2</v>
      </c>
      <c r="P154" s="132">
        <f t="shared" si="168"/>
        <v>1.8122949608393675E-2</v>
      </c>
      <c r="Q154" s="132">
        <f t="shared" si="168"/>
        <v>8.2375384172109108E-3</v>
      </c>
      <c r="R154" s="132">
        <f t="shared" si="168"/>
        <v>8.4984255753860941E-2</v>
      </c>
      <c r="S154" s="132">
        <f t="shared" si="168"/>
        <v>3.7501425803783281E-2</v>
      </c>
      <c r="T154" s="132">
        <f t="shared" si="168"/>
        <v>1.3080233994373155E-2</v>
      </c>
      <c r="U154" s="132">
        <f t="shared" si="168"/>
        <v>3.4669096895578552E-2</v>
      </c>
      <c r="V154" s="132">
        <f t="shared" si="168"/>
        <v>0.13951456094437331</v>
      </c>
      <c r="W154" s="132">
        <f t="shared" si="168"/>
        <v>3.8285353679406726E-2</v>
      </c>
      <c r="X154" s="132">
        <f t="shared" si="168"/>
        <v>3.3754584209296903E-2</v>
      </c>
      <c r="Y154" s="132">
        <f t="shared" si="168"/>
        <v>1.3856404003027501E-2</v>
      </c>
      <c r="Z154" s="132">
        <f t="shared" si="168"/>
        <v>4.4149750623441397</v>
      </c>
      <c r="AA154" s="132">
        <f t="shared" si="168"/>
        <v>3.0517615570890153E-2</v>
      </c>
      <c r="AB154" s="132">
        <f t="shared" si="168"/>
        <v>1.3727899165912725E-2</v>
      </c>
      <c r="AC154" s="132">
        <f t="shared" si="168"/>
        <v>2.5675897099786987E-2</v>
      </c>
      <c r="AD154" s="132">
        <f t="shared" si="168"/>
        <v>2.1306539241997775E-2</v>
      </c>
      <c r="AE154" s="132">
        <f t="shared" si="168"/>
        <v>9.3551554828150571E-2</v>
      </c>
      <c r="AF154" s="132">
        <f t="shared" si="168"/>
        <v>1.7227194535164917E-2</v>
      </c>
      <c r="AG154" s="132">
        <f t="shared" si="168"/>
        <v>3.3227708828448199E-3</v>
      </c>
      <c r="AH154" s="132">
        <f t="shared" si="168"/>
        <v>2.0193071424207246E-2</v>
      </c>
      <c r="AI154" s="132">
        <f t="shared" si="168"/>
        <v>6.9487902351373962E-2</v>
      </c>
      <c r="AJ154" s="132">
        <f t="shared" si="168"/>
        <v>4.0321821141711622E-2</v>
      </c>
      <c r="AK154" s="132">
        <f t="shared" si="168"/>
        <v>9.1365514355943728E-2</v>
      </c>
      <c r="AL154" s="132">
        <f t="shared" si="168"/>
        <v>6.2131071579668393E-2</v>
      </c>
      <c r="AM154" s="132">
        <f t="shared" si="168"/>
        <v>0.16488341084262903</v>
      </c>
      <c r="AN154" s="132">
        <f t="shared" si="168"/>
        <v>4.2755832135580374E-2</v>
      </c>
      <c r="AO154" s="132">
        <f t="shared" si="168"/>
        <v>4.0310692822315454E-2</v>
      </c>
      <c r="AP154" s="132">
        <f t="shared" si="168"/>
        <v>3.0793712833970796E-2</v>
      </c>
      <c r="AQ154" s="132">
        <f t="shared" ref="AQ154:BV154" si="169">(AQ80+(AQ100-AP100))/AQ153</f>
        <v>0.24921926995341218</v>
      </c>
      <c r="AR154" s="132">
        <f t="shared" si="169"/>
        <v>2.068446784505453E-3</v>
      </c>
      <c r="AS154" s="132">
        <f t="shared" si="169"/>
        <v>9.6101376341478206E-3</v>
      </c>
      <c r="AT154" s="132">
        <f t="shared" si="169"/>
        <v>-4.4635790939884139E-3</v>
      </c>
      <c r="AU154" s="132">
        <f t="shared" si="169"/>
        <v>5.441493480672234E-2</v>
      </c>
      <c r="AV154" s="132">
        <f t="shared" si="169"/>
        <v>6.169351040783649E-3</v>
      </c>
      <c r="AW154" s="132">
        <f t="shared" si="169"/>
        <v>2.4881964117091596E-2</v>
      </c>
      <c r="AX154" s="132">
        <f t="shared" si="169"/>
        <v>7.9124934106483927E-2</v>
      </c>
      <c r="AY154" s="132">
        <f t="shared" si="169"/>
        <v>6.6596858638743456E-2</v>
      </c>
      <c r="AZ154" s="132">
        <f t="shared" si="169"/>
        <v>3.5495571267116985E-2</v>
      </c>
      <c r="BA154" s="132">
        <f t="shared" si="169"/>
        <v>8.8591322978039636E-2</v>
      </c>
      <c r="BB154" s="132">
        <f t="shared" si="169"/>
        <v>6.0565875118853696E-2</v>
      </c>
      <c r="BC154" s="132">
        <f t="shared" si="169"/>
        <v>0.15073924570664246</v>
      </c>
      <c r="BD154" s="132">
        <f t="shared" si="169"/>
        <v>5.3020668671333655E-2</v>
      </c>
      <c r="BE154" s="132">
        <f t="shared" si="169"/>
        <v>0.13185709755839764</v>
      </c>
      <c r="BF154" s="132">
        <f t="shared" si="169"/>
        <v>8.2873817898561783E-2</v>
      </c>
      <c r="BG154" s="132">
        <f t="shared" si="169"/>
        <v>0.22875757178099559</v>
      </c>
      <c r="BH154" s="132">
        <f t="shared" si="169"/>
        <v>3.597712601622613E-2</v>
      </c>
      <c r="BI154" s="132">
        <f t="shared" si="169"/>
        <v>9.0811116411370824E-2</v>
      </c>
      <c r="BJ154" s="132">
        <f t="shared" si="169"/>
        <v>0.10229140665958426</v>
      </c>
      <c r="BK154" s="132">
        <f t="shared" si="169"/>
        <v>0.11932425685917368</v>
      </c>
      <c r="BL154" s="132">
        <f t="shared" si="169"/>
        <v>7.8410495985782244E-2</v>
      </c>
      <c r="BM154" s="132">
        <f t="shared" si="169"/>
        <v>0.12669330112422186</v>
      </c>
      <c r="BN154" s="132">
        <f t="shared" si="169"/>
        <v>0.16163063909774436</v>
      </c>
      <c r="BO154" s="132">
        <f t="shared" si="169"/>
        <v>0.18587320106223834</v>
      </c>
      <c r="BP154" s="132">
        <f t="shared" si="169"/>
        <v>8.2658375935441591E-2</v>
      </c>
      <c r="BQ154" s="132">
        <f t="shared" si="169"/>
        <v>9.4454404220930183E-2</v>
      </c>
      <c r="BR154" s="132">
        <f t="shared" si="169"/>
        <v>0.11434760354273245</v>
      </c>
      <c r="BS154" s="132">
        <f t="shared" si="169"/>
        <v>0.13790344496039783</v>
      </c>
      <c r="BT154" s="132">
        <f t="shared" si="169"/>
        <v>5.7090668698975763E-2</v>
      </c>
      <c r="BU154" s="132">
        <f t="shared" si="169"/>
        <v>0.16464494613312988</v>
      </c>
      <c r="BV154" s="132">
        <f t="shared" si="169"/>
        <v>0.16945675663613577</v>
      </c>
      <c r="BW154" s="251">
        <f t="shared" ref="BW154:CE154" si="170">(BW80+(BW100-BV100))/BW153</f>
        <v>0.22805446303578761</v>
      </c>
      <c r="BX154" s="251">
        <f t="shared" si="170"/>
        <v>7.665692904393695E-2</v>
      </c>
      <c r="BY154" s="251">
        <f t="shared" si="170"/>
        <v>0.22634890290515725</v>
      </c>
      <c r="BZ154" s="260">
        <f t="shared" si="170"/>
        <v>0.24206033236294927</v>
      </c>
      <c r="CA154" s="260">
        <f t="shared" si="170"/>
        <v>0.26180595369858001</v>
      </c>
      <c r="CB154" s="260">
        <f t="shared" si="170"/>
        <v>0.13359239596306138</v>
      </c>
      <c r="CC154" s="260">
        <f t="shared" si="170"/>
        <v>0.22340127157602777</v>
      </c>
      <c r="CD154" s="260">
        <f t="shared" si="170"/>
        <v>0.19441454299838415</v>
      </c>
      <c r="CE154" s="260">
        <f t="shared" si="170"/>
        <v>0.24568787687741894</v>
      </c>
      <c r="CF154" s="492" t="s">
        <v>244</v>
      </c>
      <c r="CH154" s="457"/>
      <c r="CI154" s="457"/>
      <c r="CJ154" s="457"/>
      <c r="CK154" s="457"/>
      <c r="CL154" s="457"/>
      <c r="CM154" s="457"/>
      <c r="CN154" s="457"/>
      <c r="CO154" s="457"/>
      <c r="CP154" s="457"/>
    </row>
    <row r="155" spans="1:95" x14ac:dyDescent="0.2">
      <c r="A155" s="43" t="s">
        <v>194</v>
      </c>
      <c r="B155" s="36"/>
      <c r="C155" s="95" t="s">
        <v>50</v>
      </c>
      <c r="D155" s="95" t="s">
        <v>50</v>
      </c>
      <c r="E155" s="95" t="s">
        <v>50</v>
      </c>
      <c r="F155" s="95" t="s">
        <v>50</v>
      </c>
      <c r="G155" s="95" t="s">
        <v>50</v>
      </c>
      <c r="H155" s="95" t="s">
        <v>50</v>
      </c>
      <c r="I155" s="95" t="s">
        <v>50</v>
      </c>
      <c r="J155" s="95" t="s">
        <v>50</v>
      </c>
      <c r="K155" s="95" t="s">
        <v>50</v>
      </c>
      <c r="L155" s="95" t="s">
        <v>50</v>
      </c>
      <c r="M155" s="95" t="s">
        <v>50</v>
      </c>
      <c r="N155" s="132">
        <f t="shared" ref="N155:AS155" si="171">((N80+M80+L80+K80)+(N100-J100))/(N153+M153+L153+K153)</f>
        <v>1.1264462760945953E-2</v>
      </c>
      <c r="O155" s="132">
        <f t="shared" si="171"/>
        <v>2.016166914158822E-2</v>
      </c>
      <c r="P155" s="132">
        <f t="shared" si="171"/>
        <v>2.4370716359105371E-2</v>
      </c>
      <c r="Q155" s="132">
        <f t="shared" si="171"/>
        <v>2.3509248748399117E-2</v>
      </c>
      <c r="R155" s="132">
        <f t="shared" si="171"/>
        <v>3.0579673815977062E-2</v>
      </c>
      <c r="S155" s="132">
        <f t="shared" si="171"/>
        <v>2.9109341987157356E-2</v>
      </c>
      <c r="T155" s="132">
        <f t="shared" si="171"/>
        <v>2.6104793256214617E-2</v>
      </c>
      <c r="U155" s="132">
        <f t="shared" si="171"/>
        <v>3.2932982987759776E-2</v>
      </c>
      <c r="V155" s="132">
        <f t="shared" si="171"/>
        <v>3.9135048117328153E-2</v>
      </c>
      <c r="W155" s="132">
        <f t="shared" si="171"/>
        <v>3.9215125580528414E-2</v>
      </c>
      <c r="X155" s="132">
        <f t="shared" si="171"/>
        <v>4.7118439494024215E-2</v>
      </c>
      <c r="Y155" s="132">
        <f t="shared" si="171"/>
        <v>4.1233520315967304E-2</v>
      </c>
      <c r="Z155" s="132">
        <f t="shared" si="171"/>
        <v>4.1160267309118835E-2</v>
      </c>
      <c r="AA155" s="132">
        <f t="shared" si="171"/>
        <v>3.8367875685450942E-2</v>
      </c>
      <c r="AB155" s="132">
        <f t="shared" si="171"/>
        <v>2.8398491079940084E-2</v>
      </c>
      <c r="AC155" s="132">
        <f t="shared" si="171"/>
        <v>3.1421467795601482E-2</v>
      </c>
      <c r="AD155" s="132">
        <f t="shared" si="171"/>
        <v>2.1774399061950361E-2</v>
      </c>
      <c r="AE155" s="132">
        <f t="shared" si="171"/>
        <v>3.0092295960989262E-2</v>
      </c>
      <c r="AF155" s="132">
        <f t="shared" si="171"/>
        <v>3.1495859843155963E-2</v>
      </c>
      <c r="AG155" s="132">
        <f t="shared" si="171"/>
        <v>2.6565601073017663E-2</v>
      </c>
      <c r="AH155" s="132">
        <f t="shared" si="171"/>
        <v>2.5770917161364825E-2</v>
      </c>
      <c r="AI155" s="132">
        <f t="shared" si="171"/>
        <v>2.2818725857492627E-2</v>
      </c>
      <c r="AJ155" s="132">
        <f t="shared" si="171"/>
        <v>3.0861813734955269E-2</v>
      </c>
      <c r="AK155" s="132">
        <f t="shared" si="171"/>
        <v>4.7813765952186234E-2</v>
      </c>
      <c r="AL155" s="132">
        <f t="shared" si="171"/>
        <v>6.0765611743836288E-2</v>
      </c>
      <c r="AM155" s="132">
        <f t="shared" si="171"/>
        <v>7.5898525562955094E-2</v>
      </c>
      <c r="AN155" s="132">
        <f t="shared" si="171"/>
        <v>7.8899203587976321E-2</v>
      </c>
      <c r="AO155" s="132">
        <f t="shared" si="171"/>
        <v>6.8629696885039809E-2</v>
      </c>
      <c r="AP155" s="132">
        <f t="shared" si="171"/>
        <v>6.2377010965323901E-2</v>
      </c>
      <c r="AQ155" s="132">
        <f t="shared" si="171"/>
        <v>6.5609551711369937E-2</v>
      </c>
      <c r="AR155" s="132">
        <f t="shared" si="171"/>
        <v>5.2173731642189587E-2</v>
      </c>
      <c r="AS155" s="132">
        <f t="shared" si="171"/>
        <v>4.520979663364378E-2</v>
      </c>
      <c r="AT155" s="132">
        <f t="shared" ref="AT155:BY155" si="172">((AT80+AS80+AR80+AQ80)+(AT100-AP100))/(AT153+AS153+AR153+AQ153)</f>
        <v>3.7541518559524506E-2</v>
      </c>
      <c r="AU155" s="132">
        <f t="shared" si="172"/>
        <v>1.743427411560023E-2</v>
      </c>
      <c r="AV155" s="132">
        <f t="shared" si="172"/>
        <v>1.6726476491697586E-2</v>
      </c>
      <c r="AW155" s="132">
        <f t="shared" si="172"/>
        <v>1.9533933980432194E-2</v>
      </c>
      <c r="AX155" s="132">
        <f t="shared" si="172"/>
        <v>2.9266105634202025E-2</v>
      </c>
      <c r="AY155" s="132">
        <f t="shared" si="172"/>
        <v>3.3084998817853928E-2</v>
      </c>
      <c r="AZ155" s="132">
        <f t="shared" si="172"/>
        <v>4.6086054677834574E-2</v>
      </c>
      <c r="BA155" s="132">
        <f t="shared" si="172"/>
        <v>5.7980341013929862E-2</v>
      </c>
      <c r="BB155" s="132">
        <f t="shared" si="172"/>
        <v>5.6540808585928894E-2</v>
      </c>
      <c r="BC155" s="132">
        <f t="shared" si="172"/>
        <v>7.4555218107914573E-2</v>
      </c>
      <c r="BD155" s="132">
        <f t="shared" si="172"/>
        <v>8.0426037434273054E-2</v>
      </c>
      <c r="BE155" s="132">
        <f t="shared" si="172"/>
        <v>8.8704594142386919E-2</v>
      </c>
      <c r="BF155" s="132">
        <f t="shared" si="172"/>
        <v>9.1947271440005904E-2</v>
      </c>
      <c r="BG155" s="132">
        <f t="shared" si="172"/>
        <v>0.10753457417453265</v>
      </c>
      <c r="BH155" s="132">
        <f t="shared" si="172"/>
        <v>9.3387730021899193E-2</v>
      </c>
      <c r="BI155" s="132">
        <f t="shared" si="172"/>
        <v>8.8025150999745547E-2</v>
      </c>
      <c r="BJ155" s="132">
        <f t="shared" si="172"/>
        <v>9.2570339375506711E-2</v>
      </c>
      <c r="BK155" s="132">
        <f t="shared" si="172"/>
        <v>7.4471541488076234E-2</v>
      </c>
      <c r="BL155" s="132">
        <f t="shared" si="172"/>
        <v>9.2452060383516929E-2</v>
      </c>
      <c r="BM155" s="132">
        <f t="shared" si="172"/>
        <v>9.9387628592620722E-2</v>
      </c>
      <c r="BN155" s="132">
        <f t="shared" si="172"/>
        <v>0.10892435320220287</v>
      </c>
      <c r="BO155" s="132">
        <f t="shared" si="172"/>
        <v>0.12159782656551338</v>
      </c>
      <c r="BP155" s="132">
        <f t="shared" si="172"/>
        <v>0.12577108398344222</v>
      </c>
      <c r="BQ155" s="132">
        <f t="shared" si="172"/>
        <v>0.11790505608013142</v>
      </c>
      <c r="BR155" s="132">
        <f t="shared" si="172"/>
        <v>0.11011184177256737</v>
      </c>
      <c r="BS155" s="132">
        <f t="shared" si="172"/>
        <v>0.10224777302978724</v>
      </c>
      <c r="BT155" s="132">
        <f t="shared" si="172"/>
        <v>9.4772583157553339E-2</v>
      </c>
      <c r="BU155" s="132">
        <f t="shared" si="172"/>
        <v>0.11045394387243156</v>
      </c>
      <c r="BV155" s="132">
        <f t="shared" si="172"/>
        <v>0.11949703958968548</v>
      </c>
      <c r="BW155" s="251">
        <f t="shared" si="172"/>
        <v>0.13284033290075248</v>
      </c>
      <c r="BX155" s="251">
        <f t="shared" si="172"/>
        <v>0.13417430623051446</v>
      </c>
      <c r="BY155" s="251">
        <f t="shared" si="172"/>
        <v>0.14581462582957533</v>
      </c>
      <c r="BZ155" s="260">
        <f t="shared" ref="BZ155:CE155" si="173">((BZ80+BY80+BX80+BW80)+(BZ100-BV100))/(BZ153+BY153+BX153+BW153)</f>
        <v>0.15567476452075066</v>
      </c>
      <c r="CA155" s="260">
        <f t="shared" si="173"/>
        <v>0.17788166412496342</v>
      </c>
      <c r="CB155" s="260">
        <f t="shared" si="173"/>
        <v>0.19171040708252127</v>
      </c>
      <c r="CC155" s="260">
        <f t="shared" si="173"/>
        <v>0.1941644844069956</v>
      </c>
      <c r="CD155" s="260">
        <f t="shared" si="173"/>
        <v>0.1904598361046318</v>
      </c>
      <c r="CE155" s="260">
        <f t="shared" si="173"/>
        <v>0.19321054890684006</v>
      </c>
      <c r="CF155" s="492" t="s">
        <v>244</v>
      </c>
      <c r="CH155" s="457"/>
      <c r="CI155" s="457"/>
      <c r="CJ155" s="457"/>
      <c r="CK155" s="457"/>
      <c r="CL155" s="457"/>
      <c r="CM155" s="457"/>
      <c r="CN155" s="457"/>
      <c r="CO155" s="457"/>
      <c r="CP155" s="457"/>
    </row>
    <row r="156" spans="1:95" x14ac:dyDescent="0.2">
      <c r="A156" s="35" t="s">
        <v>191</v>
      </c>
      <c r="B156" s="36"/>
      <c r="C156" s="37">
        <v>2326281</v>
      </c>
      <c r="D156" s="37">
        <v>2403363</v>
      </c>
      <c r="E156" s="37">
        <v>2510118</v>
      </c>
      <c r="F156" s="37">
        <v>2673473</v>
      </c>
      <c r="G156" s="37">
        <v>2649394</v>
      </c>
      <c r="H156" s="37">
        <v>2528310</v>
      </c>
      <c r="I156" s="37">
        <v>2381249</v>
      </c>
      <c r="J156" s="37">
        <v>2328033</v>
      </c>
      <c r="K156" s="37">
        <v>2348315</v>
      </c>
      <c r="L156" s="37">
        <v>2446274</v>
      </c>
      <c r="M156" s="37">
        <v>2520473</v>
      </c>
      <c r="N156" s="37">
        <v>2606353</v>
      </c>
      <c r="O156" s="37">
        <v>2711024</v>
      </c>
      <c r="P156" s="37">
        <v>2763155</v>
      </c>
      <c r="Q156" s="37">
        <v>2809385</v>
      </c>
      <c r="R156" s="37">
        <v>2877525</v>
      </c>
      <c r="S156" s="37">
        <v>2971494</v>
      </c>
      <c r="T156" s="37">
        <v>3122977</v>
      </c>
      <c r="U156" s="37">
        <v>3265965</v>
      </c>
      <c r="V156" s="37">
        <v>3332584</v>
      </c>
      <c r="W156" s="37">
        <v>3479333</v>
      </c>
      <c r="X156" s="37">
        <v>3428952</v>
      </c>
      <c r="Y156" s="37">
        <v>3552240</v>
      </c>
      <c r="Z156" s="37">
        <v>3644546</v>
      </c>
      <c r="AA156" s="37">
        <v>3763841</v>
      </c>
      <c r="AB156" s="37">
        <v>3892526</v>
      </c>
      <c r="AC156" s="38">
        <v>3910881</v>
      </c>
      <c r="AD156" s="37">
        <v>3750791</v>
      </c>
      <c r="AE156" s="37">
        <v>3675588</v>
      </c>
      <c r="AF156" s="38">
        <v>3297400</v>
      </c>
      <c r="AG156" s="38">
        <v>3187482</v>
      </c>
      <c r="AH156" s="38">
        <v>3109426</v>
      </c>
      <c r="AI156" s="38">
        <v>3105559</v>
      </c>
      <c r="AJ156" s="37">
        <v>3367265</v>
      </c>
      <c r="AK156" s="37">
        <v>3546901</v>
      </c>
      <c r="AL156" s="40">
        <v>3713129</v>
      </c>
      <c r="AM156" s="38">
        <v>3822564</v>
      </c>
      <c r="AN156" s="37">
        <v>3866335</v>
      </c>
      <c r="AO156" s="37">
        <v>4075235</v>
      </c>
      <c r="AP156" s="37">
        <v>4357620</v>
      </c>
      <c r="AQ156" s="37">
        <v>4345098</v>
      </c>
      <c r="AR156" s="37">
        <v>4307774</v>
      </c>
      <c r="AS156" s="38">
        <v>4160933</v>
      </c>
      <c r="AT156" s="38">
        <v>4265777</v>
      </c>
      <c r="AU156" s="38">
        <v>4523999</v>
      </c>
      <c r="AV156" s="37">
        <v>4541819</v>
      </c>
      <c r="AW156" s="37">
        <v>4864023</v>
      </c>
      <c r="AX156" s="37">
        <v>5017255.0199999996</v>
      </c>
      <c r="AY156" s="37">
        <v>5199521</v>
      </c>
      <c r="AZ156" s="37">
        <v>5026927</v>
      </c>
      <c r="BA156" s="37">
        <v>5127486</v>
      </c>
      <c r="BB156" s="37">
        <v>5320272.1883197799</v>
      </c>
      <c r="BC156" s="37">
        <v>5448660</v>
      </c>
      <c r="BD156" s="37">
        <v>5650352</v>
      </c>
      <c r="BE156" s="37">
        <v>6043822</v>
      </c>
      <c r="BF156" s="37">
        <v>6270705</v>
      </c>
      <c r="BG156" s="37">
        <v>6777827</v>
      </c>
      <c r="BH156" s="37">
        <v>6579294</v>
      </c>
      <c r="BI156" s="38">
        <v>6649133</v>
      </c>
      <c r="BJ156" s="37">
        <v>6792931</v>
      </c>
      <c r="BK156" s="37">
        <v>6756856</v>
      </c>
      <c r="BL156" s="37">
        <v>6863067</v>
      </c>
      <c r="BM156" s="37">
        <v>7152254</v>
      </c>
      <c r="BN156" s="37">
        <v>7227356</v>
      </c>
      <c r="BO156" s="37">
        <v>7710918</v>
      </c>
      <c r="BP156" s="45">
        <v>7835642</v>
      </c>
      <c r="BQ156" s="37">
        <v>7784676</v>
      </c>
      <c r="BR156" s="37">
        <v>7780980</v>
      </c>
      <c r="BS156" s="37">
        <v>7849871</v>
      </c>
      <c r="BT156" s="37">
        <v>8063116</v>
      </c>
      <c r="BU156" s="37">
        <v>8303847</v>
      </c>
      <c r="BV156" s="28">
        <v>7935535</v>
      </c>
      <c r="BW156" s="29">
        <v>8298297</v>
      </c>
      <c r="BX156" s="29">
        <v>8546068</v>
      </c>
      <c r="BY156" s="29">
        <v>8679026</v>
      </c>
      <c r="BZ156" s="28">
        <v>8996380</v>
      </c>
      <c r="CA156" s="28">
        <v>8418530</v>
      </c>
      <c r="CB156" s="28">
        <v>9046988</v>
      </c>
      <c r="CC156" s="291">
        <v>9546759</v>
      </c>
      <c r="CD156" s="291">
        <v>9894279</v>
      </c>
      <c r="CE156" s="291">
        <v>10463634</v>
      </c>
      <c r="CF156" s="492" t="s">
        <v>244</v>
      </c>
      <c r="CH156" s="457"/>
      <c r="CI156" s="457"/>
      <c r="CJ156" s="457"/>
      <c r="CK156" s="457"/>
      <c r="CL156" s="457"/>
      <c r="CM156" s="457"/>
      <c r="CN156" s="457"/>
      <c r="CO156" s="457"/>
      <c r="CP156" s="457"/>
    </row>
    <row r="157" spans="1:95" s="420" customFormat="1" x14ac:dyDescent="0.2">
      <c r="A157" s="437" t="s">
        <v>192</v>
      </c>
      <c r="B157" s="439"/>
      <c r="C157" s="219">
        <f t="shared" ref="C157:AH157" si="174">(C88)/C156</f>
        <v>2.512078291487572E-3</v>
      </c>
      <c r="D157" s="219">
        <f t="shared" si="174"/>
        <v>2.4313846888713857E-3</v>
      </c>
      <c r="E157" s="219">
        <f t="shared" si="174"/>
        <v>3.5703500791596254E-3</v>
      </c>
      <c r="F157" s="219">
        <f t="shared" si="174"/>
        <v>3.211702530753069E-3</v>
      </c>
      <c r="G157" s="219">
        <f t="shared" si="174"/>
        <v>3.3816034912134627E-3</v>
      </c>
      <c r="H157" s="219">
        <f t="shared" si="174"/>
        <v>2.6878428673699035E-3</v>
      </c>
      <c r="I157" s="219">
        <f t="shared" si="174"/>
        <v>2.2679694563651261E-3</v>
      </c>
      <c r="J157" s="219">
        <f t="shared" si="174"/>
        <v>2.9062732358175335E-3</v>
      </c>
      <c r="K157" s="219">
        <f t="shared" si="174"/>
        <v>2.7799081469053345E-3</v>
      </c>
      <c r="L157" s="219">
        <f t="shared" si="174"/>
        <v>3.2485731361245715E-3</v>
      </c>
      <c r="M157" s="219">
        <f t="shared" si="174"/>
        <v>3.7538588987067112E-3</v>
      </c>
      <c r="N157" s="219">
        <f t="shared" si="174"/>
        <v>4.4142907733526505E-3</v>
      </c>
      <c r="O157" s="219">
        <f t="shared" si="174"/>
        <v>5.3762342199847732E-3</v>
      </c>
      <c r="P157" s="219">
        <f t="shared" si="174"/>
        <v>5.5040705280738865E-3</v>
      </c>
      <c r="Q157" s="219">
        <f t="shared" si="174"/>
        <v>5.4771773893574575E-3</v>
      </c>
      <c r="R157" s="219">
        <f t="shared" si="174"/>
        <v>6.0128061441690342E-3</v>
      </c>
      <c r="S157" s="219">
        <f t="shared" si="174"/>
        <v>6.7939225184368533E-3</v>
      </c>
      <c r="T157" s="219">
        <f t="shared" si="174"/>
        <v>7.3886551197783392E-3</v>
      </c>
      <c r="U157" s="219">
        <f t="shared" si="174"/>
        <v>8.3868320695414666E-3</v>
      </c>
      <c r="V157" s="219">
        <f t="shared" si="174"/>
        <v>9.5629997623465756E-3</v>
      </c>
      <c r="W157" s="219">
        <f t="shared" si="174"/>
        <v>1.1144549831821213E-2</v>
      </c>
      <c r="X157" s="219">
        <f t="shared" si="174"/>
        <v>1.0731237999248751E-2</v>
      </c>
      <c r="Y157" s="219">
        <f t="shared" si="174"/>
        <v>1.1029434948089093E-2</v>
      </c>
      <c r="Z157" s="219">
        <f t="shared" si="174"/>
        <v>1.2491185459039341E-2</v>
      </c>
      <c r="AA157" s="219">
        <f t="shared" si="174"/>
        <v>1.2972147335660565E-2</v>
      </c>
      <c r="AB157" s="219">
        <f t="shared" si="174"/>
        <v>1.3330880769967883E-2</v>
      </c>
      <c r="AC157" s="220">
        <f t="shared" si="174"/>
        <v>1.3215692320988544E-2</v>
      </c>
      <c r="AD157" s="219">
        <f t="shared" si="174"/>
        <v>1.2847423383494308E-2</v>
      </c>
      <c r="AE157" s="219">
        <f t="shared" si="174"/>
        <v>1.2760135249108443E-2</v>
      </c>
      <c r="AF157" s="220">
        <f t="shared" si="174"/>
        <v>1.396281919087766E-2</v>
      </c>
      <c r="AG157" s="220">
        <f t="shared" si="174"/>
        <v>1.2719444376470204E-2</v>
      </c>
      <c r="AH157" s="220">
        <f t="shared" si="174"/>
        <v>1.1546215282177481E-2</v>
      </c>
      <c r="AI157" s="220">
        <f t="shared" ref="AI157:BN157" si="175">(AI88)/AI156</f>
        <v>1.2579699822157621E-2</v>
      </c>
      <c r="AJ157" s="219">
        <f t="shared" si="175"/>
        <v>1.4593446016277305E-2</v>
      </c>
      <c r="AK157" s="219">
        <f t="shared" si="175"/>
        <v>1.6300426766915684E-2</v>
      </c>
      <c r="AL157" s="222">
        <f t="shared" si="175"/>
        <v>1.7350057054306488E-2</v>
      </c>
      <c r="AM157" s="220">
        <f t="shared" si="175"/>
        <v>1.9549966985510248E-2</v>
      </c>
      <c r="AN157" s="219">
        <f t="shared" si="175"/>
        <v>1.8850927299367489E-2</v>
      </c>
      <c r="AO157" s="219">
        <f t="shared" si="175"/>
        <v>1.9262447441681277E-2</v>
      </c>
      <c r="AP157" s="219">
        <f t="shared" si="175"/>
        <v>1.9710071093853986E-2</v>
      </c>
      <c r="AQ157" s="219">
        <f t="shared" si="175"/>
        <v>2.0890898202986445E-2</v>
      </c>
      <c r="AR157" s="219">
        <f t="shared" si="175"/>
        <v>2.0487611467082535E-2</v>
      </c>
      <c r="AS157" s="220">
        <f t="shared" si="175"/>
        <v>1.7582114395978017E-2</v>
      </c>
      <c r="AT157" s="220">
        <f t="shared" si="175"/>
        <v>1.7999534434172251E-2</v>
      </c>
      <c r="AU157" s="220">
        <f t="shared" si="175"/>
        <v>1.885411557341193E-2</v>
      </c>
      <c r="AV157" s="219">
        <f t="shared" si="175"/>
        <v>1.7931802214046839E-2</v>
      </c>
      <c r="AW157" s="219">
        <f t="shared" si="175"/>
        <v>1.746763944167205E-2</v>
      </c>
      <c r="AX157" s="219">
        <f t="shared" si="175"/>
        <v>1.7672811058346404E-2</v>
      </c>
      <c r="AY157" s="219">
        <f t="shared" si="175"/>
        <v>1.8550362619941335E-2</v>
      </c>
      <c r="AZ157" s="219">
        <f t="shared" si="175"/>
        <v>1.9398531150342943E-2</v>
      </c>
      <c r="BA157" s="219">
        <f t="shared" si="175"/>
        <v>2.1097278471360038E-2</v>
      </c>
      <c r="BB157" s="219">
        <f t="shared" si="175"/>
        <v>2.1773510057308609E-2</v>
      </c>
      <c r="BC157" s="219">
        <f t="shared" si="175"/>
        <v>2.3109718719832032E-2</v>
      </c>
      <c r="BD157" s="219">
        <f t="shared" si="175"/>
        <v>2.3824533409599967E-2</v>
      </c>
      <c r="BE157" s="219">
        <f t="shared" si="175"/>
        <v>2.288568392649552E-2</v>
      </c>
      <c r="BF157" s="219">
        <f t="shared" si="175"/>
        <v>2.348630979179853E-2</v>
      </c>
      <c r="BG157" s="219">
        <f t="shared" si="175"/>
        <v>2.5678584006348936E-2</v>
      </c>
      <c r="BH157" s="219">
        <f t="shared" si="175"/>
        <v>2.6718672246596673E-2</v>
      </c>
      <c r="BI157" s="220">
        <f t="shared" si="175"/>
        <v>2.6561501469179793E-2</v>
      </c>
      <c r="BJ157" s="219">
        <f t="shared" si="175"/>
        <v>2.9175799718691619E-2</v>
      </c>
      <c r="BK157" s="219">
        <f t="shared" si="175"/>
        <v>2.8952310258707599E-2</v>
      </c>
      <c r="BL157" s="219">
        <f t="shared" si="175"/>
        <v>2.9995190197035816E-2</v>
      </c>
      <c r="BM157" s="219">
        <f t="shared" si="175"/>
        <v>3.2217535898473405E-2</v>
      </c>
      <c r="BN157" s="219">
        <f t="shared" si="175"/>
        <v>3.3088864032711274E-2</v>
      </c>
      <c r="BO157" s="220">
        <f t="shared" ref="BO157:CE157" si="176">(BO88)/BO156</f>
        <v>3.307663653952192E-2</v>
      </c>
      <c r="BP157" s="213">
        <f t="shared" si="176"/>
        <v>3.4502449208872209E-2</v>
      </c>
      <c r="BQ157" s="213">
        <f t="shared" si="176"/>
        <v>3.6093716302881391E-2</v>
      </c>
      <c r="BR157" s="213">
        <f t="shared" si="176"/>
        <v>3.6361872808074583E-2</v>
      </c>
      <c r="BS157" s="213">
        <f t="shared" si="176"/>
        <v>3.6780349638866679E-2</v>
      </c>
      <c r="BT157" s="213">
        <f t="shared" si="176"/>
        <v>3.8092345440646026E-2</v>
      </c>
      <c r="BU157" s="221">
        <f t="shared" si="176"/>
        <v>3.9858978979771552E-2</v>
      </c>
      <c r="BV157" s="213">
        <f t="shared" si="176"/>
        <v>3.7802026434438661E-2</v>
      </c>
      <c r="BW157" s="213">
        <f t="shared" si="176"/>
        <v>4.0450179778125435E-2</v>
      </c>
      <c r="BX157" s="213">
        <f t="shared" si="176"/>
        <v>4.204110500445242E-2</v>
      </c>
      <c r="BY157" s="213">
        <f t="shared" si="176"/>
        <v>4.3447783079573359E-2</v>
      </c>
      <c r="BZ157" s="213">
        <f t="shared" si="176"/>
        <v>4.5320309221295763E-2</v>
      </c>
      <c r="CA157" s="213">
        <f t="shared" si="176"/>
        <v>4.3732666633498306E-2</v>
      </c>
      <c r="CB157" s="213">
        <f t="shared" si="176"/>
        <v>4.9141195119028036E-2</v>
      </c>
      <c r="CC157" s="477">
        <f t="shared" si="176"/>
        <v>5.3860403558652896E-2</v>
      </c>
      <c r="CD157" s="477">
        <f t="shared" si="176"/>
        <v>5.7660506966401022E-2</v>
      </c>
      <c r="CE157" s="477">
        <f t="shared" si="176"/>
        <v>6.2496894041829114E-2</v>
      </c>
      <c r="CF157" s="492" t="s">
        <v>244</v>
      </c>
      <c r="CG157" s="440"/>
      <c r="CH157" s="457"/>
      <c r="CI157" s="457"/>
      <c r="CJ157" s="457"/>
      <c r="CK157" s="457"/>
      <c r="CL157" s="457"/>
      <c r="CM157" s="457"/>
      <c r="CN157" s="457"/>
      <c r="CO157" s="457"/>
      <c r="CP157" s="457"/>
      <c r="CQ157" s="441"/>
    </row>
    <row r="158" spans="1:95" x14ac:dyDescent="0.2">
      <c r="A158" s="10"/>
      <c r="B158" s="11"/>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9"/>
      <c r="AD158" s="29"/>
      <c r="AE158" s="29"/>
      <c r="AF158" s="29"/>
      <c r="AG158" s="29"/>
      <c r="AH158" s="29"/>
      <c r="AI158" s="29"/>
      <c r="AJ158" s="28"/>
      <c r="AK158" s="7"/>
      <c r="AL158" s="28"/>
      <c r="AM158" s="29"/>
      <c r="AN158" s="28"/>
      <c r="AO158" s="28"/>
      <c r="AP158" s="28"/>
      <c r="AQ158" s="28"/>
      <c r="AR158" s="28"/>
      <c r="AS158" s="7"/>
      <c r="AT158" s="29"/>
      <c r="AU158" s="29"/>
      <c r="AV158" s="28"/>
      <c r="AW158" s="28"/>
      <c r="AX158" s="28"/>
      <c r="AY158" s="28"/>
      <c r="AZ158" s="28"/>
      <c r="BA158" s="28"/>
      <c r="BB158" s="28"/>
      <c r="BC158" s="28"/>
      <c r="BD158" s="28"/>
      <c r="BE158" s="28"/>
      <c r="BF158" s="28"/>
      <c r="BG158" s="28"/>
      <c r="BH158" s="28"/>
      <c r="BI158" s="29"/>
      <c r="BJ158" s="28"/>
      <c r="BK158" s="28"/>
      <c r="BL158" s="28"/>
      <c r="BM158" s="28"/>
      <c r="BN158" s="28"/>
      <c r="BO158" s="28"/>
      <c r="BP158" s="7"/>
      <c r="BQ158" s="28"/>
      <c r="BR158" s="28"/>
      <c r="BS158" s="28"/>
      <c r="BT158" s="28"/>
      <c r="BU158" s="28"/>
      <c r="BV158" s="28"/>
      <c r="BW158" s="29"/>
      <c r="BX158" s="29"/>
      <c r="BY158" s="29"/>
      <c r="BZ158" s="28"/>
      <c r="CA158" s="28"/>
      <c r="CB158" s="28"/>
      <c r="CC158" s="291"/>
      <c r="CD158" s="291"/>
      <c r="CE158" s="291"/>
      <c r="CF158" s="34"/>
      <c r="CH158" s="457"/>
      <c r="CI158" s="457"/>
      <c r="CJ158" s="457"/>
      <c r="CK158" s="457"/>
      <c r="CL158" s="457"/>
      <c r="CM158" s="457"/>
      <c r="CN158" s="457"/>
      <c r="CO158" s="457"/>
      <c r="CP158" s="457"/>
    </row>
    <row r="159" spans="1:95" x14ac:dyDescent="0.2">
      <c r="A159" s="35" t="s">
        <v>236</v>
      </c>
      <c r="B159" s="36"/>
      <c r="C159" s="172" t="s">
        <v>50</v>
      </c>
      <c r="D159" s="172" t="s">
        <v>50</v>
      </c>
      <c r="E159" s="172" t="s">
        <v>50</v>
      </c>
      <c r="F159" s="172" t="s">
        <v>50</v>
      </c>
      <c r="G159" s="172" t="s">
        <v>50</v>
      </c>
      <c r="H159" s="172" t="s">
        <v>50</v>
      </c>
      <c r="I159" s="172" t="s">
        <v>50</v>
      </c>
      <c r="J159" s="172" t="s">
        <v>50</v>
      </c>
      <c r="K159" s="172" t="s">
        <v>50</v>
      </c>
      <c r="L159" s="172" t="s">
        <v>50</v>
      </c>
      <c r="M159" s="172" t="s">
        <v>50</v>
      </c>
      <c r="N159" s="172" t="s">
        <v>50</v>
      </c>
      <c r="O159" s="172" t="s">
        <v>50</v>
      </c>
      <c r="P159" s="172" t="s">
        <v>50</v>
      </c>
      <c r="Q159" s="172" t="s">
        <v>50</v>
      </c>
      <c r="R159" s="172" t="s">
        <v>50</v>
      </c>
      <c r="S159" s="172" t="s">
        <v>50</v>
      </c>
      <c r="T159" s="172" t="s">
        <v>50</v>
      </c>
      <c r="U159" s="172" t="s">
        <v>50</v>
      </c>
      <c r="V159" s="172" t="s">
        <v>50</v>
      </c>
      <c r="W159" s="172" t="s">
        <v>50</v>
      </c>
      <c r="X159" s="172" t="s">
        <v>50</v>
      </c>
      <c r="Y159" s="172" t="s">
        <v>50</v>
      </c>
      <c r="Z159" s="172" t="s">
        <v>50</v>
      </c>
      <c r="AA159" s="172" t="s">
        <v>50</v>
      </c>
      <c r="AB159" s="172" t="s">
        <v>50</v>
      </c>
      <c r="AC159" s="172" t="s">
        <v>50</v>
      </c>
      <c r="AD159" s="172" t="s">
        <v>50</v>
      </c>
      <c r="AE159" s="172" t="s">
        <v>50</v>
      </c>
      <c r="AF159" s="172" t="s">
        <v>50</v>
      </c>
      <c r="AG159" s="172" t="s">
        <v>50</v>
      </c>
      <c r="AH159" s="172" t="s">
        <v>50</v>
      </c>
      <c r="AI159" s="172" t="s">
        <v>50</v>
      </c>
      <c r="AJ159" s="172" t="s">
        <v>50</v>
      </c>
      <c r="AK159" s="172" t="s">
        <v>50</v>
      </c>
      <c r="AL159" s="172" t="s">
        <v>50</v>
      </c>
      <c r="AM159" s="172" t="s">
        <v>50</v>
      </c>
      <c r="AN159" s="172" t="s">
        <v>50</v>
      </c>
      <c r="AO159" s="172" t="s">
        <v>50</v>
      </c>
      <c r="AP159" s="172" t="s">
        <v>50</v>
      </c>
      <c r="AQ159" s="172" t="s">
        <v>50</v>
      </c>
      <c r="AR159" s="172" t="s">
        <v>50</v>
      </c>
      <c r="AS159" s="172" t="s">
        <v>50</v>
      </c>
      <c r="AT159" s="172" t="s">
        <v>50</v>
      </c>
      <c r="AU159" s="172" t="s">
        <v>50</v>
      </c>
      <c r="AV159" s="172" t="s">
        <v>50</v>
      </c>
      <c r="AW159" s="172" t="s">
        <v>50</v>
      </c>
      <c r="AX159" s="172" t="s">
        <v>50</v>
      </c>
      <c r="AY159" s="172" t="s">
        <v>50</v>
      </c>
      <c r="AZ159" s="172" t="s">
        <v>50</v>
      </c>
      <c r="BA159" s="172" t="s">
        <v>50</v>
      </c>
      <c r="BB159" s="172" t="s">
        <v>50</v>
      </c>
      <c r="BC159" s="172" t="s">
        <v>50</v>
      </c>
      <c r="BD159" s="172" t="s">
        <v>50</v>
      </c>
      <c r="BE159" s="172" t="s">
        <v>50</v>
      </c>
      <c r="BF159" s="172" t="s">
        <v>50</v>
      </c>
      <c r="BG159" s="172" t="s">
        <v>50</v>
      </c>
      <c r="BH159" s="172" t="s">
        <v>50</v>
      </c>
      <c r="BI159" s="172" t="s">
        <v>50</v>
      </c>
      <c r="BJ159" s="172" t="s">
        <v>50</v>
      </c>
      <c r="BK159" s="172" t="s">
        <v>50</v>
      </c>
      <c r="BL159" s="172" t="s">
        <v>50</v>
      </c>
      <c r="BM159" s="172" t="s">
        <v>50</v>
      </c>
      <c r="BN159" s="172" t="s">
        <v>50</v>
      </c>
      <c r="BO159" s="172" t="s">
        <v>50</v>
      </c>
      <c r="BP159" s="101" t="s">
        <v>50</v>
      </c>
      <c r="BQ159" s="101" t="s">
        <v>50</v>
      </c>
      <c r="BR159" s="37" t="s">
        <v>50</v>
      </c>
      <c r="BS159" s="101" t="s">
        <v>50</v>
      </c>
      <c r="BT159" s="101" t="s">
        <v>50</v>
      </c>
      <c r="BU159" s="102" t="s">
        <v>50</v>
      </c>
      <c r="BV159" s="101" t="s">
        <v>50</v>
      </c>
      <c r="BW159" s="101" t="s">
        <v>50</v>
      </c>
      <c r="BX159" s="101" t="s">
        <v>50</v>
      </c>
      <c r="BY159" s="37" t="s">
        <v>50</v>
      </c>
      <c r="BZ159" s="37" t="s">
        <v>50</v>
      </c>
      <c r="CA159" s="37">
        <v>266532.29631300003</v>
      </c>
      <c r="CB159" s="37">
        <v>267489.61913100001</v>
      </c>
      <c r="CC159" s="37">
        <v>267787.144149</v>
      </c>
      <c r="CD159" s="37">
        <v>273481.091434</v>
      </c>
      <c r="CE159" s="37">
        <v>288930.33209699998</v>
      </c>
      <c r="CF159" s="492" t="s">
        <v>244</v>
      </c>
      <c r="CG159" s="466"/>
      <c r="CH159" s="457"/>
      <c r="CI159" s="457"/>
      <c r="CJ159" s="457"/>
      <c r="CK159" s="457"/>
      <c r="CL159" s="457"/>
      <c r="CM159" s="457"/>
      <c r="CN159" s="457"/>
      <c r="CO159" s="457"/>
      <c r="CP159" s="457"/>
    </row>
    <row r="160" spans="1:95" x14ac:dyDescent="0.2">
      <c r="A160" s="35" t="s">
        <v>194</v>
      </c>
      <c r="B160" s="36"/>
      <c r="C160" s="95" t="s">
        <v>50</v>
      </c>
      <c r="D160" s="95" t="s">
        <v>50</v>
      </c>
      <c r="E160" s="95" t="s">
        <v>50</v>
      </c>
      <c r="F160" s="95" t="s">
        <v>50</v>
      </c>
      <c r="G160" s="95" t="s">
        <v>50</v>
      </c>
      <c r="H160" s="95" t="s">
        <v>50</v>
      </c>
      <c r="I160" s="95" t="s">
        <v>50</v>
      </c>
      <c r="J160" s="95" t="s">
        <v>50</v>
      </c>
      <c r="K160" s="95" t="s">
        <v>50</v>
      </c>
      <c r="L160" s="95" t="s">
        <v>50</v>
      </c>
      <c r="M160" s="95" t="s">
        <v>50</v>
      </c>
      <c r="N160" s="95" t="s">
        <v>50</v>
      </c>
      <c r="O160" s="95" t="s">
        <v>50</v>
      </c>
      <c r="P160" s="95" t="s">
        <v>50</v>
      </c>
      <c r="Q160" s="95" t="s">
        <v>50</v>
      </c>
      <c r="R160" s="95" t="s">
        <v>50</v>
      </c>
      <c r="S160" s="95" t="s">
        <v>50</v>
      </c>
      <c r="T160" s="95" t="s">
        <v>50</v>
      </c>
      <c r="U160" s="95" t="s">
        <v>50</v>
      </c>
      <c r="V160" s="95" t="s">
        <v>50</v>
      </c>
      <c r="W160" s="95" t="s">
        <v>50</v>
      </c>
      <c r="X160" s="95" t="s">
        <v>50</v>
      </c>
      <c r="Y160" s="95" t="s">
        <v>50</v>
      </c>
      <c r="Z160" s="95" t="s">
        <v>50</v>
      </c>
      <c r="AA160" s="95" t="s">
        <v>50</v>
      </c>
      <c r="AB160" s="95" t="s">
        <v>50</v>
      </c>
      <c r="AC160" s="95" t="s">
        <v>50</v>
      </c>
      <c r="AD160" s="95" t="s">
        <v>50</v>
      </c>
      <c r="AE160" s="95" t="s">
        <v>50</v>
      </c>
      <c r="AF160" s="95" t="s">
        <v>50</v>
      </c>
      <c r="AG160" s="95" t="s">
        <v>50</v>
      </c>
      <c r="AH160" s="95" t="s">
        <v>50</v>
      </c>
      <c r="AI160" s="95" t="s">
        <v>50</v>
      </c>
      <c r="AJ160" s="95" t="s">
        <v>50</v>
      </c>
      <c r="AK160" s="95" t="s">
        <v>50</v>
      </c>
      <c r="AL160" s="95" t="s">
        <v>50</v>
      </c>
      <c r="AM160" s="95" t="s">
        <v>50</v>
      </c>
      <c r="AN160" s="95" t="s">
        <v>50</v>
      </c>
      <c r="AO160" s="95" t="s">
        <v>50</v>
      </c>
      <c r="AP160" s="95" t="s">
        <v>50</v>
      </c>
      <c r="AQ160" s="95" t="s">
        <v>50</v>
      </c>
      <c r="AR160" s="95" t="s">
        <v>50</v>
      </c>
      <c r="AS160" s="95" t="s">
        <v>50</v>
      </c>
      <c r="AT160" s="95" t="s">
        <v>50</v>
      </c>
      <c r="AU160" s="95" t="s">
        <v>50</v>
      </c>
      <c r="AV160" s="95" t="s">
        <v>50</v>
      </c>
      <c r="AW160" s="95" t="s">
        <v>50</v>
      </c>
      <c r="AX160" s="95" t="s">
        <v>50</v>
      </c>
      <c r="AY160" s="95" t="s">
        <v>50</v>
      </c>
      <c r="AZ160" s="95" t="s">
        <v>50</v>
      </c>
      <c r="BA160" s="95" t="s">
        <v>50</v>
      </c>
      <c r="BB160" s="95" t="s">
        <v>50</v>
      </c>
      <c r="BC160" s="95" t="s">
        <v>50</v>
      </c>
      <c r="BD160" s="95" t="s">
        <v>50</v>
      </c>
      <c r="BE160" s="95" t="s">
        <v>50</v>
      </c>
      <c r="BF160" s="95" t="s">
        <v>50</v>
      </c>
      <c r="BG160" s="95" t="s">
        <v>50</v>
      </c>
      <c r="BH160" s="95" t="s">
        <v>50</v>
      </c>
      <c r="BI160" s="95" t="s">
        <v>50</v>
      </c>
      <c r="BJ160" s="95" t="s">
        <v>50</v>
      </c>
      <c r="BK160" s="95" t="s">
        <v>50</v>
      </c>
      <c r="BL160" s="95" t="s">
        <v>50</v>
      </c>
      <c r="BM160" s="95" t="s">
        <v>50</v>
      </c>
      <c r="BN160" s="95" t="s">
        <v>50</v>
      </c>
      <c r="BO160" s="95" t="s">
        <v>50</v>
      </c>
      <c r="BP160" s="95" t="s">
        <v>50</v>
      </c>
      <c r="BQ160" s="95" t="s">
        <v>50</v>
      </c>
      <c r="BR160" s="95" t="s">
        <v>50</v>
      </c>
      <c r="BS160" s="95" t="s">
        <v>50</v>
      </c>
      <c r="BT160" s="95" t="s">
        <v>50</v>
      </c>
      <c r="BU160" s="95" t="s">
        <v>50</v>
      </c>
      <c r="BV160" s="95" t="s">
        <v>50</v>
      </c>
      <c r="BW160" s="95" t="s">
        <v>50</v>
      </c>
      <c r="BX160" s="95" t="s">
        <v>50</v>
      </c>
      <c r="BY160" s="93" t="s">
        <v>50</v>
      </c>
      <c r="BZ160" s="94" t="s">
        <v>50</v>
      </c>
      <c r="CA160" s="163">
        <v>9.5000000000000001E-2</v>
      </c>
      <c r="CB160" s="163">
        <v>0.1017</v>
      </c>
      <c r="CC160" s="163">
        <v>0.109</v>
      </c>
      <c r="CD160" s="163">
        <v>0.11899999999999999</v>
      </c>
      <c r="CE160" s="163">
        <v>0.11899999999999999</v>
      </c>
      <c r="CF160" s="492" t="s">
        <v>244</v>
      </c>
      <c r="CH160" s="457"/>
      <c r="CI160" s="457"/>
      <c r="CJ160" s="457"/>
      <c r="CK160" s="457"/>
      <c r="CL160" s="457"/>
      <c r="CM160" s="457"/>
      <c r="CN160" s="457"/>
      <c r="CO160" s="457"/>
      <c r="CP160" s="457"/>
    </row>
    <row r="161" spans="1:95" x14ac:dyDescent="0.2">
      <c r="A161" s="35" t="s">
        <v>237</v>
      </c>
      <c r="B161" s="36"/>
      <c r="C161" s="95" t="s">
        <v>50</v>
      </c>
      <c r="D161" s="95" t="s">
        <v>50</v>
      </c>
      <c r="E161" s="95" t="s">
        <v>50</v>
      </c>
      <c r="F161" s="95" t="s">
        <v>50</v>
      </c>
      <c r="G161" s="95" t="s">
        <v>50</v>
      </c>
      <c r="H161" s="95" t="s">
        <v>50</v>
      </c>
      <c r="I161" s="95" t="s">
        <v>50</v>
      </c>
      <c r="J161" s="95" t="s">
        <v>50</v>
      </c>
      <c r="K161" s="95" t="s">
        <v>50</v>
      </c>
      <c r="L161" s="95" t="s">
        <v>50</v>
      </c>
      <c r="M161" s="95" t="s">
        <v>50</v>
      </c>
      <c r="N161" s="95" t="s">
        <v>50</v>
      </c>
      <c r="O161" s="95" t="s">
        <v>50</v>
      </c>
      <c r="P161" s="95" t="s">
        <v>50</v>
      </c>
      <c r="Q161" s="95" t="s">
        <v>50</v>
      </c>
      <c r="R161" s="95" t="s">
        <v>50</v>
      </c>
      <c r="S161" s="95" t="s">
        <v>50</v>
      </c>
      <c r="T161" s="95" t="s">
        <v>50</v>
      </c>
      <c r="U161" s="95" t="s">
        <v>50</v>
      </c>
      <c r="V161" s="95" t="s">
        <v>50</v>
      </c>
      <c r="W161" s="95" t="s">
        <v>50</v>
      </c>
      <c r="X161" s="95" t="s">
        <v>50</v>
      </c>
      <c r="Y161" s="95" t="s">
        <v>50</v>
      </c>
      <c r="Z161" s="95" t="s">
        <v>50</v>
      </c>
      <c r="AA161" s="95" t="s">
        <v>50</v>
      </c>
      <c r="AB161" s="95" t="s">
        <v>50</v>
      </c>
      <c r="AC161" s="95" t="s">
        <v>50</v>
      </c>
      <c r="AD161" s="95" t="s">
        <v>50</v>
      </c>
      <c r="AE161" s="95" t="s">
        <v>50</v>
      </c>
      <c r="AF161" s="95" t="s">
        <v>50</v>
      </c>
      <c r="AG161" s="95" t="s">
        <v>50</v>
      </c>
      <c r="AH161" s="95" t="s">
        <v>50</v>
      </c>
      <c r="AI161" s="95" t="s">
        <v>50</v>
      </c>
      <c r="AJ161" s="95" t="s">
        <v>50</v>
      </c>
      <c r="AK161" s="95" t="s">
        <v>50</v>
      </c>
      <c r="AL161" s="95" t="s">
        <v>50</v>
      </c>
      <c r="AM161" s="95" t="s">
        <v>50</v>
      </c>
      <c r="AN161" s="95" t="s">
        <v>50</v>
      </c>
      <c r="AO161" s="95" t="s">
        <v>50</v>
      </c>
      <c r="AP161" s="95" t="s">
        <v>50</v>
      </c>
      <c r="AQ161" s="95" t="s">
        <v>50</v>
      </c>
      <c r="AR161" s="95" t="s">
        <v>50</v>
      </c>
      <c r="AS161" s="95" t="s">
        <v>50</v>
      </c>
      <c r="AT161" s="95" t="s">
        <v>50</v>
      </c>
      <c r="AU161" s="95" t="s">
        <v>50</v>
      </c>
      <c r="AV161" s="95" t="s">
        <v>50</v>
      </c>
      <c r="AW161" s="95" t="s">
        <v>50</v>
      </c>
      <c r="AX161" s="95" t="s">
        <v>50</v>
      </c>
      <c r="AY161" s="95" t="s">
        <v>50</v>
      </c>
      <c r="AZ161" s="95" t="s">
        <v>50</v>
      </c>
      <c r="BA161" s="95" t="s">
        <v>50</v>
      </c>
      <c r="BB161" s="95" t="s">
        <v>50</v>
      </c>
      <c r="BC161" s="95" t="s">
        <v>50</v>
      </c>
      <c r="BD161" s="95" t="s">
        <v>50</v>
      </c>
      <c r="BE161" s="95" t="s">
        <v>50</v>
      </c>
      <c r="BF161" s="95" t="s">
        <v>50</v>
      </c>
      <c r="BG161" s="95" t="s">
        <v>50</v>
      </c>
      <c r="BH161" s="95" t="s">
        <v>50</v>
      </c>
      <c r="BI161" s="95" t="s">
        <v>50</v>
      </c>
      <c r="BJ161" s="95" t="s">
        <v>50</v>
      </c>
      <c r="BK161" s="95" t="s">
        <v>50</v>
      </c>
      <c r="BL161" s="95" t="s">
        <v>50</v>
      </c>
      <c r="BM161" s="95" t="s">
        <v>50</v>
      </c>
      <c r="BN161" s="95" t="s">
        <v>50</v>
      </c>
      <c r="BO161" s="95" t="s">
        <v>50</v>
      </c>
      <c r="BP161" s="95" t="s">
        <v>50</v>
      </c>
      <c r="BQ161" s="95" t="s">
        <v>50</v>
      </c>
      <c r="BR161" s="95" t="s">
        <v>50</v>
      </c>
      <c r="BS161" s="95" t="s">
        <v>50</v>
      </c>
      <c r="BT161" s="95" t="s">
        <v>50</v>
      </c>
      <c r="BU161" s="95" t="s">
        <v>50</v>
      </c>
      <c r="BV161" s="95" t="s">
        <v>50</v>
      </c>
      <c r="BW161" s="95" t="s">
        <v>50</v>
      </c>
      <c r="BX161" s="95" t="s">
        <v>50</v>
      </c>
      <c r="BY161" s="37" t="s">
        <v>50</v>
      </c>
      <c r="BZ161" s="37" t="s">
        <v>50</v>
      </c>
      <c r="CA161" s="37">
        <v>48232.842820999998</v>
      </c>
      <c r="CB161" s="37">
        <v>48177.241691000003</v>
      </c>
      <c r="CC161" s="37">
        <v>47722.562590840003</v>
      </c>
      <c r="CD161" s="37">
        <v>47482.459715149998</v>
      </c>
      <c r="CE161" s="37">
        <v>47463.68458103</v>
      </c>
      <c r="CF161" s="492" t="s">
        <v>244</v>
      </c>
      <c r="CG161" s="466"/>
      <c r="CH161" s="457"/>
      <c r="CI161" s="457"/>
      <c r="CJ161" s="457"/>
      <c r="CK161" s="457"/>
      <c r="CL161" s="457"/>
      <c r="CM161" s="457"/>
      <c r="CN161" s="457"/>
      <c r="CO161" s="457"/>
      <c r="CP161" s="457"/>
    </row>
    <row r="162" spans="1:95" x14ac:dyDescent="0.2">
      <c r="A162" s="12" t="s">
        <v>194</v>
      </c>
      <c r="B162" s="59"/>
      <c r="C162" s="392" t="s">
        <v>50</v>
      </c>
      <c r="D162" s="392" t="s">
        <v>50</v>
      </c>
      <c r="E162" s="392" t="s">
        <v>50</v>
      </c>
      <c r="F162" s="392" t="s">
        <v>50</v>
      </c>
      <c r="G162" s="392" t="s">
        <v>50</v>
      </c>
      <c r="H162" s="392" t="s">
        <v>50</v>
      </c>
      <c r="I162" s="392" t="s">
        <v>50</v>
      </c>
      <c r="J162" s="392" t="s">
        <v>50</v>
      </c>
      <c r="K162" s="392" t="s">
        <v>50</v>
      </c>
      <c r="L162" s="392" t="s">
        <v>50</v>
      </c>
      <c r="M162" s="392" t="s">
        <v>50</v>
      </c>
      <c r="N162" s="392" t="s">
        <v>50</v>
      </c>
      <c r="O162" s="392" t="s">
        <v>50</v>
      </c>
      <c r="P162" s="392" t="s">
        <v>50</v>
      </c>
      <c r="Q162" s="392" t="s">
        <v>50</v>
      </c>
      <c r="R162" s="392" t="s">
        <v>50</v>
      </c>
      <c r="S162" s="392" t="s">
        <v>50</v>
      </c>
      <c r="T162" s="392" t="s">
        <v>50</v>
      </c>
      <c r="U162" s="392" t="s">
        <v>50</v>
      </c>
      <c r="V162" s="392" t="s">
        <v>50</v>
      </c>
      <c r="W162" s="392" t="s">
        <v>50</v>
      </c>
      <c r="X162" s="392" t="s">
        <v>50</v>
      </c>
      <c r="Y162" s="392" t="s">
        <v>50</v>
      </c>
      <c r="Z162" s="392" t="s">
        <v>50</v>
      </c>
      <c r="AA162" s="392" t="s">
        <v>50</v>
      </c>
      <c r="AB162" s="392" t="s">
        <v>50</v>
      </c>
      <c r="AC162" s="392" t="s">
        <v>50</v>
      </c>
      <c r="AD162" s="392" t="s">
        <v>50</v>
      </c>
      <c r="AE162" s="392" t="s">
        <v>50</v>
      </c>
      <c r="AF162" s="392" t="s">
        <v>50</v>
      </c>
      <c r="AG162" s="392" t="s">
        <v>50</v>
      </c>
      <c r="AH162" s="392" t="s">
        <v>50</v>
      </c>
      <c r="AI162" s="392" t="s">
        <v>50</v>
      </c>
      <c r="AJ162" s="392" t="s">
        <v>50</v>
      </c>
      <c r="AK162" s="392" t="s">
        <v>50</v>
      </c>
      <c r="AL162" s="393" t="s">
        <v>50</v>
      </c>
      <c r="AM162" s="79" t="s">
        <v>50</v>
      </c>
      <c r="AN162" s="63" t="s">
        <v>50</v>
      </c>
      <c r="AO162" s="63" t="s">
        <v>50</v>
      </c>
      <c r="AP162" s="63" t="s">
        <v>50</v>
      </c>
      <c r="AQ162" s="63" t="s">
        <v>50</v>
      </c>
      <c r="AR162" s="63" t="s">
        <v>50</v>
      </c>
      <c r="AS162" s="79" t="s">
        <v>50</v>
      </c>
      <c r="AT162" s="79" t="s">
        <v>50</v>
      </c>
      <c r="AU162" s="79" t="s">
        <v>50</v>
      </c>
      <c r="AV162" s="63" t="s">
        <v>50</v>
      </c>
      <c r="AW162" s="63" t="s">
        <v>50</v>
      </c>
      <c r="AX162" s="63" t="s">
        <v>50</v>
      </c>
      <c r="AY162" s="63" t="s">
        <v>50</v>
      </c>
      <c r="AZ162" s="63" t="s">
        <v>50</v>
      </c>
      <c r="BA162" s="63" t="s">
        <v>50</v>
      </c>
      <c r="BB162" s="63" t="s">
        <v>50</v>
      </c>
      <c r="BC162" s="63" t="s">
        <v>50</v>
      </c>
      <c r="BD162" s="63" t="s">
        <v>50</v>
      </c>
      <c r="BE162" s="63" t="s">
        <v>50</v>
      </c>
      <c r="BF162" s="63" t="s">
        <v>50</v>
      </c>
      <c r="BG162" s="63" t="s">
        <v>50</v>
      </c>
      <c r="BH162" s="63" t="s">
        <v>50</v>
      </c>
      <c r="BI162" s="79" t="s">
        <v>50</v>
      </c>
      <c r="BJ162" s="63" t="s">
        <v>50</v>
      </c>
      <c r="BK162" s="63" t="s">
        <v>50</v>
      </c>
      <c r="BL162" s="63" t="s">
        <v>50</v>
      </c>
      <c r="BM162" s="63" t="s">
        <v>50</v>
      </c>
      <c r="BN162" s="63" t="s">
        <v>50</v>
      </c>
      <c r="BO162" s="63" t="s">
        <v>50</v>
      </c>
      <c r="BP162" s="63" t="s">
        <v>50</v>
      </c>
      <c r="BQ162" s="63" t="s">
        <v>50</v>
      </c>
      <c r="BR162" s="63" t="s">
        <v>50</v>
      </c>
      <c r="BS162" s="63" t="s">
        <v>50</v>
      </c>
      <c r="BT162" s="63" t="s">
        <v>50</v>
      </c>
      <c r="BU162" s="63" t="s">
        <v>50</v>
      </c>
      <c r="BV162" s="63" t="s">
        <v>50</v>
      </c>
      <c r="BW162" s="63" t="s">
        <v>50</v>
      </c>
      <c r="BX162" s="63" t="s">
        <v>50</v>
      </c>
      <c r="BY162" s="63" t="s">
        <v>50</v>
      </c>
      <c r="BZ162" s="63" t="s">
        <v>50</v>
      </c>
      <c r="CA162" s="391">
        <v>6.8699999999999997E-2</v>
      </c>
      <c r="CB162" s="391">
        <v>6.9199999999999998E-2</v>
      </c>
      <c r="CC162" s="391">
        <v>7.0099999999999996E-2</v>
      </c>
      <c r="CD162" s="391">
        <v>7.2400000000000006E-2</v>
      </c>
      <c r="CE162" s="391">
        <v>7.4899999999999994E-2</v>
      </c>
      <c r="CF162" s="493" t="s">
        <v>244</v>
      </c>
      <c r="CH162" s="457"/>
      <c r="CI162" s="457"/>
      <c r="CJ162" s="457"/>
      <c r="CK162" s="457"/>
      <c r="CL162" s="457"/>
      <c r="CM162" s="457"/>
      <c r="CN162" s="457"/>
      <c r="CO162" s="457"/>
      <c r="CP162" s="457"/>
    </row>
    <row r="163" spans="1:95" x14ac:dyDescent="0.2">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7"/>
      <c r="AW163" s="7"/>
      <c r="AX163" s="7"/>
      <c r="AY163" s="7"/>
      <c r="AZ163" s="7"/>
      <c r="BA163" s="7"/>
      <c r="BB163" s="7"/>
      <c r="BC163" s="7"/>
      <c r="BD163" s="7"/>
      <c r="BE163" s="7"/>
      <c r="BF163" s="7"/>
      <c r="BG163" s="7"/>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457"/>
      <c r="CI163" s="457"/>
      <c r="CJ163" s="457"/>
      <c r="CK163" s="457"/>
      <c r="CL163" s="457"/>
      <c r="CM163" s="457"/>
      <c r="CN163" s="457"/>
      <c r="CO163" s="457"/>
      <c r="CP163" s="457"/>
    </row>
    <row r="164" spans="1:95" x14ac:dyDescent="0.2">
      <c r="A164" s="238" t="s">
        <v>133</v>
      </c>
      <c r="B164" s="189"/>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394"/>
      <c r="BR164" s="188"/>
      <c r="BS164" s="188"/>
      <c r="BT164" s="188"/>
      <c r="BU164" s="188"/>
      <c r="BV164" s="188"/>
      <c r="BW164" s="188"/>
      <c r="BX164" s="7"/>
      <c r="BY164" s="7"/>
      <c r="BZ164" s="7"/>
      <c r="CA164" s="7"/>
      <c r="CB164" s="7"/>
      <c r="CC164" s="287"/>
      <c r="CD164" s="287"/>
      <c r="CE164" s="287"/>
      <c r="CF164" s="287"/>
      <c r="CG164" s="466"/>
    </row>
    <row r="165" spans="1:95" ht="15" x14ac:dyDescent="0.2">
      <c r="A165" s="4" t="s">
        <v>250</v>
      </c>
      <c r="B165" s="188"/>
      <c r="C165" s="188"/>
      <c r="D165" s="188"/>
      <c r="E165" s="188"/>
      <c r="F165" s="188"/>
      <c r="G165" s="188"/>
      <c r="H165" s="188"/>
      <c r="I165" s="188"/>
      <c r="J165" s="188"/>
      <c r="K165" s="188"/>
      <c r="L165" s="4"/>
      <c r="M165" s="188"/>
      <c r="N165" s="188"/>
      <c r="O165" s="188"/>
      <c r="P165" s="188"/>
      <c r="Q165" s="188"/>
      <c r="R165" s="188"/>
      <c r="S165" s="188"/>
      <c r="T165" s="188"/>
      <c r="U165" s="188"/>
      <c r="V165" s="188"/>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row>
    <row r="166" spans="1:95" ht="15" x14ac:dyDescent="0.2">
      <c r="A166" s="4" t="s">
        <v>227</v>
      </c>
    </row>
    <row r="167" spans="1:95" ht="40.5" x14ac:dyDescent="0.2">
      <c r="A167" s="486" t="s">
        <v>239</v>
      </c>
    </row>
    <row r="168" spans="1:95" ht="53.25" x14ac:dyDescent="0.2">
      <c r="A168" s="486" t="s">
        <v>240</v>
      </c>
    </row>
    <row r="169" spans="1:95" ht="15" x14ac:dyDescent="0.2">
      <c r="A169" s="190" t="s">
        <v>245</v>
      </c>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190"/>
      <c r="BY169" s="7"/>
      <c r="BZ169" s="7"/>
      <c r="CA169" s="7"/>
      <c r="CB169" s="7"/>
      <c r="CC169" s="287"/>
      <c r="CD169" s="287"/>
      <c r="CE169" s="287"/>
      <c r="CF169" s="287"/>
    </row>
    <row r="170" spans="1:95" ht="15" x14ac:dyDescent="0.2">
      <c r="A170" s="190" t="s">
        <v>228</v>
      </c>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190"/>
      <c r="BY170" s="7"/>
      <c r="BZ170" s="7"/>
      <c r="CA170" s="7"/>
      <c r="CB170" s="7"/>
      <c r="CC170" s="287"/>
      <c r="CD170" s="287"/>
      <c r="CE170" s="287"/>
      <c r="CF170" s="287"/>
    </row>
    <row r="171" spans="1:95" ht="15" x14ac:dyDescent="0.2">
      <c r="A171" s="4" t="s">
        <v>229</v>
      </c>
    </row>
  </sheetData>
  <phoneticPr fontId="0" type="noConversion"/>
  <pageMargins left="0.23622047244094491" right="0.23622047244094491" top="0.74803149606299213" bottom="0.74803149606299213" header="0.31496062992125984" footer="0.31496062992125984"/>
  <pageSetup paperSize="8" scale="56" fitToHeight="0" orientation="landscape" r:id="rId1"/>
  <headerFooter>
    <oddFooter>&amp;R&amp;P (&amp;N)</oddFooter>
  </headerFooter>
  <rowBreaks count="2" manualBreakCount="2">
    <brk id="80" min="62" max="83" man="1"/>
    <brk id="138" min="62" max="83" man="1"/>
  </rowBreaks>
  <ignoredErrors>
    <ignoredError sqref="BV128:BV129 BV73:BV7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76"/>
  <sheetViews>
    <sheetView showGridLines="0" zoomScale="90" zoomScaleNormal="90" workbookViewId="0">
      <pane xSplit="1" ySplit="6" topLeftCell="G34" activePane="bottomRight" state="frozen"/>
      <selection pane="topRight" activeCell="B1" sqref="B1"/>
      <selection pane="bottomLeft" activeCell="A7" sqref="A7"/>
      <selection pane="bottomRight" activeCell="U64" sqref="U64"/>
    </sheetView>
  </sheetViews>
  <sheetFormatPr defaultColWidth="9.140625" defaultRowHeight="12.75" x14ac:dyDescent="0.2"/>
  <cols>
    <col min="1" max="1" width="75.28515625" style="4" customWidth="1"/>
    <col min="2" max="19" width="12" style="2" bestFit="1" customWidth="1"/>
    <col min="20" max="20" width="11.7109375" style="2" customWidth="1"/>
    <col min="21" max="21" width="11.85546875" style="2" customWidth="1"/>
    <col min="22" max="22" width="9.28515625" style="2" bestFit="1" customWidth="1"/>
    <col min="23" max="23" width="9.140625" style="103"/>
    <col min="24" max="24" width="11" style="103" bestFit="1" customWidth="1"/>
    <col min="25" max="16384" width="9.140625" style="103"/>
  </cols>
  <sheetData>
    <row r="1" spans="1:22" ht="17.25" customHeight="1" x14ac:dyDescent="0.2">
      <c r="A1" s="239" t="s">
        <v>195</v>
      </c>
      <c r="L1" s="479"/>
      <c r="M1" s="479"/>
      <c r="N1" s="479"/>
    </row>
    <row r="2" spans="1:22" ht="27.75" customHeight="1" x14ac:dyDescent="0.2">
      <c r="A2" s="5" t="s">
        <v>102</v>
      </c>
      <c r="B2" s="199"/>
      <c r="L2" s="479"/>
      <c r="M2" s="479"/>
      <c r="N2" s="479"/>
      <c r="V2" s="347"/>
    </row>
    <row r="3" spans="1:22" ht="16.5" customHeight="1" x14ac:dyDescent="0.2">
      <c r="A3" s="224" t="s">
        <v>25</v>
      </c>
      <c r="B3" s="240" t="s">
        <v>38</v>
      </c>
      <c r="C3" s="227"/>
      <c r="D3" s="227"/>
      <c r="E3" s="227"/>
      <c r="F3" s="227"/>
      <c r="G3" s="227"/>
      <c r="H3" s="227"/>
      <c r="I3" s="227"/>
      <c r="J3" s="227"/>
      <c r="K3" s="227"/>
      <c r="L3" s="227"/>
      <c r="M3" s="227"/>
      <c r="N3" s="227"/>
      <c r="O3" s="227"/>
      <c r="P3" s="227"/>
      <c r="Q3" s="227"/>
      <c r="R3" s="227"/>
      <c r="S3" s="227"/>
      <c r="T3" s="227"/>
      <c r="U3" s="227"/>
      <c r="V3" s="228"/>
    </row>
    <row r="4" spans="1:22" x14ac:dyDescent="0.2">
      <c r="A4" s="229" t="s">
        <v>242</v>
      </c>
      <c r="B4" s="241"/>
      <c r="C4" s="231"/>
      <c r="D4" s="231"/>
      <c r="E4" s="231"/>
      <c r="F4" s="231"/>
      <c r="G4" s="231"/>
      <c r="H4" s="231"/>
      <c r="I4" s="231"/>
      <c r="J4" s="231"/>
      <c r="K4" s="231"/>
      <c r="L4" s="231"/>
      <c r="M4" s="231"/>
      <c r="N4" s="231"/>
      <c r="O4" s="231"/>
      <c r="P4" s="231"/>
      <c r="Q4" s="231"/>
      <c r="R4" s="231"/>
      <c r="S4" s="231"/>
      <c r="T4" s="231"/>
      <c r="U4" s="231"/>
      <c r="V4" s="242" t="s">
        <v>37</v>
      </c>
    </row>
    <row r="5" spans="1:22" x14ac:dyDescent="0.2">
      <c r="A5" s="233"/>
      <c r="B5" s="243">
        <v>2001</v>
      </c>
      <c r="C5" s="235">
        <v>2002</v>
      </c>
      <c r="D5" s="235">
        <v>2003</v>
      </c>
      <c r="E5" s="235">
        <v>2004</v>
      </c>
      <c r="F5" s="235">
        <v>2005</v>
      </c>
      <c r="G5" s="235">
        <v>2006</v>
      </c>
      <c r="H5" s="235">
        <v>2007</v>
      </c>
      <c r="I5" s="235">
        <v>2008</v>
      </c>
      <c r="J5" s="235">
        <v>2009</v>
      </c>
      <c r="K5" s="235">
        <v>2010</v>
      </c>
      <c r="L5" s="235">
        <v>2011</v>
      </c>
      <c r="M5" s="235">
        <v>2012</v>
      </c>
      <c r="N5" s="235">
        <v>2013</v>
      </c>
      <c r="O5" s="235">
        <v>2014</v>
      </c>
      <c r="P5" s="235">
        <v>2015</v>
      </c>
      <c r="Q5" s="235">
        <v>2016</v>
      </c>
      <c r="R5" s="235">
        <v>2017</v>
      </c>
      <c r="S5" s="235">
        <v>2018</v>
      </c>
      <c r="T5" s="235">
        <v>2019</v>
      </c>
      <c r="U5" s="235">
        <v>2020</v>
      </c>
      <c r="V5" s="449" t="s">
        <v>214</v>
      </c>
    </row>
    <row r="6" spans="1:22" x14ac:dyDescent="0.2">
      <c r="A6" s="10"/>
      <c r="B6" s="22"/>
      <c r="C6" s="16"/>
      <c r="D6" s="16"/>
      <c r="E6" s="16"/>
      <c r="F6" s="16"/>
      <c r="G6" s="16"/>
      <c r="H6" s="16"/>
      <c r="I6" s="16"/>
      <c r="J6" s="16"/>
      <c r="K6" s="16"/>
      <c r="L6" s="16"/>
      <c r="M6" s="16"/>
      <c r="N6" s="16"/>
      <c r="O6" s="16"/>
      <c r="P6" s="17"/>
      <c r="Q6" s="17"/>
      <c r="R6" s="17"/>
      <c r="S6" s="17"/>
      <c r="T6" s="17"/>
      <c r="U6" s="17"/>
      <c r="V6" s="430"/>
    </row>
    <row r="7" spans="1:22" s="425" customFormat="1" x14ac:dyDescent="0.2">
      <c r="A7" s="236" t="s">
        <v>84</v>
      </c>
      <c r="B7" s="14"/>
      <c r="C7" s="24"/>
      <c r="D7" s="24"/>
      <c r="E7" s="24"/>
      <c r="F7" s="24"/>
      <c r="G7" s="24"/>
      <c r="H7" s="24"/>
      <c r="I7" s="24"/>
      <c r="J7" s="24"/>
      <c r="K7" s="24"/>
      <c r="L7" s="24"/>
      <c r="M7" s="24"/>
      <c r="N7" s="24"/>
      <c r="O7" s="24"/>
      <c r="P7" s="25"/>
      <c r="Q7" s="25"/>
      <c r="R7" s="25"/>
      <c r="S7" s="25"/>
      <c r="T7" s="25"/>
      <c r="U7" s="25"/>
      <c r="V7" s="27"/>
    </row>
    <row r="8" spans="1:22" x14ac:dyDescent="0.2">
      <c r="A8" s="10"/>
      <c r="B8" s="33"/>
      <c r="C8" s="28"/>
      <c r="D8" s="28"/>
      <c r="E8" s="28"/>
      <c r="F8" s="28"/>
      <c r="G8" s="28"/>
      <c r="H8" s="28"/>
      <c r="I8" s="28"/>
      <c r="J8" s="28"/>
      <c r="K8" s="28"/>
      <c r="L8" s="28"/>
      <c r="M8" s="28"/>
      <c r="N8" s="28"/>
      <c r="O8" s="28"/>
      <c r="P8" s="29"/>
      <c r="Q8" s="29"/>
      <c r="R8" s="29"/>
      <c r="S8" s="29"/>
      <c r="T8" s="29"/>
      <c r="U8" s="29"/>
      <c r="V8" s="427"/>
    </row>
    <row r="9" spans="1:22" x14ac:dyDescent="0.2">
      <c r="A9" s="395" t="s">
        <v>233</v>
      </c>
      <c r="B9" s="396"/>
      <c r="C9" s="291"/>
      <c r="D9" s="291"/>
      <c r="E9" s="291"/>
      <c r="F9" s="291"/>
      <c r="G9" s="291"/>
      <c r="H9" s="291"/>
      <c r="I9" s="291"/>
      <c r="J9" s="291"/>
      <c r="K9" s="291"/>
      <c r="L9" s="291"/>
      <c r="M9" s="291"/>
      <c r="N9" s="291"/>
      <c r="O9" s="291"/>
      <c r="P9" s="291"/>
      <c r="Q9" s="291"/>
      <c r="R9" s="291"/>
      <c r="S9" s="291"/>
      <c r="T9" s="291"/>
      <c r="U9" s="291"/>
      <c r="V9" s="352"/>
    </row>
    <row r="10" spans="1:22" x14ac:dyDescent="0.2">
      <c r="A10" s="35" t="s">
        <v>26</v>
      </c>
      <c r="B10" s="41">
        <f>SUM('Quarterly Data 2001-2021'!C10:F10)</f>
        <v>62</v>
      </c>
      <c r="C10" s="37">
        <f>SUM('Quarterly Data 2001-2021'!G10:J10)</f>
        <v>79.800000000000011</v>
      </c>
      <c r="D10" s="37">
        <f>SUM('Quarterly Data 2001-2021'!K10:N10)</f>
        <v>101</v>
      </c>
      <c r="E10" s="37">
        <f>SUM('Quarterly Data 2001-2021'!O10:R10)</f>
        <v>140.9</v>
      </c>
      <c r="F10" s="37">
        <f>SUM('Quarterly Data 2001-2021'!S10:V10)</f>
        <v>177.7</v>
      </c>
      <c r="G10" s="37">
        <f>SUM('Quarterly Data 2001-2021'!W10:Z10)</f>
        <v>279.5</v>
      </c>
      <c r="H10" s="37">
        <f>SUM('Quarterly Data 2001-2021'!AA10:AD10)</f>
        <v>303.85200000000003</v>
      </c>
      <c r="I10" s="37">
        <f>SUM('Quarterly Data 2001-2021'!AE10:AH10)</f>
        <v>276</v>
      </c>
      <c r="J10" s="37">
        <f>SUM('Quarterly Data 2001-2021'!AI10:AL10)</f>
        <v>342.68900000000002</v>
      </c>
      <c r="K10" s="37">
        <f>SUM('Quarterly Data 2001-2021'!AM10:AP10)</f>
        <v>372.1</v>
      </c>
      <c r="L10" s="37">
        <v>351.7</v>
      </c>
      <c r="M10" s="37">
        <f>SUM('Quarterly Data 2001-2021'!AU10:AX10)</f>
        <v>258</v>
      </c>
      <c r="N10" s="37">
        <f>SUM('Quarterly Data 2001-2021'!AY10:BB10)</f>
        <v>290</v>
      </c>
      <c r="O10" s="37">
        <f>SUM('Quarterly Data 2001-2021'!BC10:BF10)</f>
        <v>332.5</v>
      </c>
      <c r="P10" s="37">
        <v>550.20000000000005</v>
      </c>
      <c r="Q10" s="37">
        <v>542.79999999999995</v>
      </c>
      <c r="R10" s="37">
        <v>528.1</v>
      </c>
      <c r="S10" s="38">
        <v>520.35195819</v>
      </c>
      <c r="T10" s="38">
        <v>556.20324171999835</v>
      </c>
      <c r="U10" s="37">
        <v>1271.6291928199964</v>
      </c>
      <c r="V10" s="42">
        <f>+((U10/P10)^(1/5))-1</f>
        <v>0.18240969140944174</v>
      </c>
    </row>
    <row r="11" spans="1:22" x14ac:dyDescent="0.2">
      <c r="A11" s="43" t="s">
        <v>29</v>
      </c>
      <c r="B11" s="49">
        <f>SUM('Quarterly Data 2001-2021'!C11:F11)</f>
        <v>-10.199999999999999</v>
      </c>
      <c r="C11" s="45">
        <f>SUM('Quarterly Data 2001-2021'!G11:J11)</f>
        <v>-10</v>
      </c>
      <c r="D11" s="45">
        <f>SUM('Quarterly Data 2001-2021'!K11:N11)</f>
        <v>-12</v>
      </c>
      <c r="E11" s="45">
        <f>SUM('Quarterly Data 2001-2021'!O11:R11)</f>
        <v>-17.8</v>
      </c>
      <c r="F11" s="45">
        <f>SUM('Quarterly Data 2001-2021'!S11:V11)</f>
        <v>-23.5</v>
      </c>
      <c r="G11" s="45">
        <f>SUM('Quarterly Data 2001-2021'!W11:Z11)</f>
        <v>-39.800000000000004</v>
      </c>
      <c r="H11" s="37">
        <f>SUM('Quarterly Data 2001-2021'!AA11:AD11)</f>
        <v>-48.237000000000002</v>
      </c>
      <c r="I11" s="37">
        <f>SUM('Quarterly Data 2001-2021'!AE11:AH11)</f>
        <v>-46.67</v>
      </c>
      <c r="J11" s="37">
        <f>SUM('Quarterly Data 2001-2021'!AI11:AL11)</f>
        <v>-42.819999999999993</v>
      </c>
      <c r="K11" s="37">
        <f>SUM('Quarterly Data 2001-2021'!AM11:AP11)</f>
        <v>-43.2</v>
      </c>
      <c r="L11" s="37">
        <v>-46.6</v>
      </c>
      <c r="M11" s="37">
        <f>SUM('Quarterly Data 2001-2021'!AU11:AX11)</f>
        <v>-42</v>
      </c>
      <c r="N11" s="37">
        <f>SUM('Quarterly Data 2001-2021'!AY11:BB11)</f>
        <v>-45</v>
      </c>
      <c r="O11" s="37">
        <f>SUM('Quarterly Data 2001-2021'!BC11:BF11)</f>
        <v>-46.8</v>
      </c>
      <c r="P11" s="37">
        <v>-70.8</v>
      </c>
      <c r="Q11" s="37">
        <v>-73.400000000000006</v>
      </c>
      <c r="R11" s="37">
        <v>-78.7</v>
      </c>
      <c r="S11" s="207">
        <v>-85.099727200000004</v>
      </c>
      <c r="T11" s="38">
        <v>-90.325135259999996</v>
      </c>
      <c r="U11" s="37">
        <v>-169.58560554999977</v>
      </c>
      <c r="V11" s="42">
        <f t="shared" ref="V11:V14" si="0">+((U11/P11)^(1/5))-1</f>
        <v>0.19088862151952468</v>
      </c>
    </row>
    <row r="12" spans="1:22" s="425" customFormat="1" x14ac:dyDescent="0.2">
      <c r="A12" s="50" t="s">
        <v>30</v>
      </c>
      <c r="B12" s="56">
        <f t="shared" ref="B12:P12" si="1">SUM(B10:B11)</f>
        <v>51.8</v>
      </c>
      <c r="C12" s="52">
        <f t="shared" si="1"/>
        <v>69.800000000000011</v>
      </c>
      <c r="D12" s="52">
        <f t="shared" si="1"/>
        <v>89</v>
      </c>
      <c r="E12" s="52">
        <f t="shared" si="1"/>
        <v>123.10000000000001</v>
      </c>
      <c r="F12" s="52">
        <f t="shared" si="1"/>
        <v>154.19999999999999</v>
      </c>
      <c r="G12" s="52">
        <f t="shared" si="1"/>
        <v>239.7</v>
      </c>
      <c r="H12" s="52">
        <f t="shared" si="1"/>
        <v>255.61500000000004</v>
      </c>
      <c r="I12" s="52">
        <f t="shared" si="1"/>
        <v>229.32999999999998</v>
      </c>
      <c r="J12" s="52">
        <f t="shared" si="1"/>
        <v>299.86900000000003</v>
      </c>
      <c r="K12" s="52">
        <f t="shared" si="1"/>
        <v>328.90000000000003</v>
      </c>
      <c r="L12" s="52">
        <f t="shared" si="1"/>
        <v>305.09999999999997</v>
      </c>
      <c r="M12" s="52">
        <f t="shared" si="1"/>
        <v>216</v>
      </c>
      <c r="N12" s="52">
        <f t="shared" si="1"/>
        <v>245</v>
      </c>
      <c r="O12" s="52">
        <f t="shared" si="1"/>
        <v>285.7</v>
      </c>
      <c r="P12" s="52">
        <f t="shared" si="1"/>
        <v>479.40000000000003</v>
      </c>
      <c r="Q12" s="52">
        <f>SUM(Q10:Q11)</f>
        <v>469.4</v>
      </c>
      <c r="R12" s="52">
        <f>SUM(R10:R11)</f>
        <v>449.40000000000003</v>
      </c>
      <c r="S12" s="483">
        <f>SUM(S10:S11)</f>
        <v>435.25223098999999</v>
      </c>
      <c r="T12" s="52">
        <f>SUM(T10:T11)</f>
        <v>465.87810645999832</v>
      </c>
      <c r="U12" s="52">
        <f>SUM(U10:U11)</f>
        <v>1102.0435872699966</v>
      </c>
      <c r="V12" s="57">
        <f t="shared" si="0"/>
        <v>0.18113665757317343</v>
      </c>
    </row>
    <row r="13" spans="1:22" x14ac:dyDescent="0.2">
      <c r="A13" s="397" t="s">
        <v>232</v>
      </c>
      <c r="B13" s="49" t="s">
        <v>35</v>
      </c>
      <c r="C13" s="45" t="s">
        <v>35</v>
      </c>
      <c r="D13" s="45" t="s">
        <v>35</v>
      </c>
      <c r="E13" s="45" t="s">
        <v>35</v>
      </c>
      <c r="F13" s="45" t="s">
        <v>35</v>
      </c>
      <c r="G13" s="45" t="s">
        <v>35</v>
      </c>
      <c r="H13" s="37" t="s">
        <v>35</v>
      </c>
      <c r="I13" s="37" t="s">
        <v>35</v>
      </c>
      <c r="J13" s="37" t="s">
        <v>35</v>
      </c>
      <c r="K13" s="37" t="s">
        <v>35</v>
      </c>
      <c r="L13" s="37" t="s">
        <v>35</v>
      </c>
      <c r="M13" s="37" t="s">
        <v>35</v>
      </c>
      <c r="N13" s="37" t="s">
        <v>35</v>
      </c>
      <c r="O13" s="37" t="s">
        <v>35</v>
      </c>
      <c r="P13" s="37" t="s">
        <v>35</v>
      </c>
      <c r="Q13" s="37">
        <f>SUM('Quarterly Data 2001-2021'!BK13:BN13)</f>
        <v>80.58</v>
      </c>
      <c r="R13" s="37">
        <f>SUM('Quarterly Data 2001-2021'!BO13:BR13)</f>
        <v>99.759999999999991</v>
      </c>
      <c r="S13" s="37">
        <f>SUM('Quarterly Data 2001-2021'!BS13:BV13)</f>
        <v>126.67410183000001</v>
      </c>
      <c r="T13" s="37">
        <f>SUM('Quarterly Data 2001-2021'!BW13:BZ13)</f>
        <v>124.63517392999999</v>
      </c>
      <c r="U13" s="37">
        <f>SUM('Quarterly Data 2001-2021'!CA13:CD13)</f>
        <v>355.19385961</v>
      </c>
      <c r="V13" s="42" t="s">
        <v>213</v>
      </c>
    </row>
    <row r="14" spans="1:22" s="426" customFormat="1" x14ac:dyDescent="0.2">
      <c r="A14" s="398" t="s">
        <v>234</v>
      </c>
      <c r="B14" s="350">
        <f>SUM(B12:B13)</f>
        <v>51.8</v>
      </c>
      <c r="C14" s="350">
        <f>SUM(C12:C13)</f>
        <v>69.800000000000011</v>
      </c>
      <c r="D14" s="350">
        <f>SUM(D12:D13)</f>
        <v>89</v>
      </c>
      <c r="E14" s="350">
        <f t="shared" ref="E14:U14" si="2">SUM(E12:E13)</f>
        <v>123.10000000000001</v>
      </c>
      <c r="F14" s="350">
        <f t="shared" si="2"/>
        <v>154.19999999999999</v>
      </c>
      <c r="G14" s="350">
        <f t="shared" si="2"/>
        <v>239.7</v>
      </c>
      <c r="H14" s="350">
        <f t="shared" si="2"/>
        <v>255.61500000000004</v>
      </c>
      <c r="I14" s="350">
        <f t="shared" si="2"/>
        <v>229.32999999999998</v>
      </c>
      <c r="J14" s="350">
        <f t="shared" si="2"/>
        <v>299.86900000000003</v>
      </c>
      <c r="K14" s="350">
        <f t="shared" si="2"/>
        <v>328.90000000000003</v>
      </c>
      <c r="L14" s="350">
        <f t="shared" si="2"/>
        <v>305.09999999999997</v>
      </c>
      <c r="M14" s="350">
        <f t="shared" si="2"/>
        <v>216</v>
      </c>
      <c r="N14" s="350">
        <f t="shared" si="2"/>
        <v>245</v>
      </c>
      <c r="O14" s="350">
        <f t="shared" si="2"/>
        <v>285.7</v>
      </c>
      <c r="P14" s="350">
        <f>SUM(P12:P13)</f>
        <v>479.40000000000003</v>
      </c>
      <c r="Q14" s="350">
        <f t="shared" si="2"/>
        <v>549.98</v>
      </c>
      <c r="R14" s="350">
        <f t="shared" si="2"/>
        <v>549.16000000000008</v>
      </c>
      <c r="S14" s="484">
        <f t="shared" si="2"/>
        <v>561.92633281999997</v>
      </c>
      <c r="T14" s="350">
        <f t="shared" si="2"/>
        <v>590.51328038999827</v>
      </c>
      <c r="U14" s="350">
        <f t="shared" si="2"/>
        <v>1457.2374468799967</v>
      </c>
      <c r="V14" s="445">
        <f t="shared" si="0"/>
        <v>0.24901156202607932</v>
      </c>
    </row>
    <row r="15" spans="1:22" s="426" customFormat="1" x14ac:dyDescent="0.2">
      <c r="A15" s="398"/>
      <c r="B15" s="399"/>
      <c r="C15" s="350"/>
      <c r="D15" s="350"/>
      <c r="E15" s="350"/>
      <c r="F15" s="350"/>
      <c r="G15" s="350"/>
      <c r="H15" s="400"/>
      <c r="I15" s="400"/>
      <c r="J15" s="400"/>
      <c r="K15" s="400"/>
      <c r="L15" s="400"/>
      <c r="M15" s="400"/>
      <c r="N15" s="400"/>
      <c r="O15" s="400"/>
      <c r="P15" s="400"/>
      <c r="Q15" s="400"/>
      <c r="R15" s="400"/>
      <c r="S15" s="401"/>
      <c r="T15" s="401"/>
      <c r="U15" s="401"/>
      <c r="V15" s="428"/>
    </row>
    <row r="16" spans="1:22" x14ac:dyDescent="0.2">
      <c r="A16" s="395" t="s">
        <v>196</v>
      </c>
      <c r="B16" s="396"/>
      <c r="C16" s="291"/>
      <c r="D16" s="291"/>
      <c r="E16" s="291"/>
      <c r="F16" s="291"/>
      <c r="G16" s="291"/>
      <c r="H16" s="291"/>
      <c r="I16" s="291"/>
      <c r="J16" s="291"/>
      <c r="K16" s="291"/>
      <c r="L16" s="291"/>
      <c r="M16" s="291"/>
      <c r="N16" s="291"/>
      <c r="O16" s="291"/>
      <c r="P16" s="291"/>
      <c r="Q16" s="291"/>
      <c r="R16" s="291"/>
      <c r="S16" s="291"/>
      <c r="T16" s="291"/>
      <c r="U16" s="291"/>
      <c r="V16" s="352"/>
    </row>
    <row r="17" spans="1:25" s="425" customFormat="1" x14ac:dyDescent="0.2">
      <c r="A17" s="50" t="s">
        <v>197</v>
      </c>
      <c r="B17" s="56">
        <f>SUM('Quarterly Data 2001-2021'!C17:F17)</f>
        <v>0.8</v>
      </c>
      <c r="C17" s="52">
        <f>SUM('Quarterly Data 2001-2021'!G17:J17)</f>
        <v>2</v>
      </c>
      <c r="D17" s="52">
        <f>SUM('Quarterly Data 2001-2021'!K17:N17)</f>
        <v>1.9</v>
      </c>
      <c r="E17" s="52">
        <f>SUM('Quarterly Data 2001-2021'!O17:R17)</f>
        <v>7.3</v>
      </c>
      <c r="F17" s="52">
        <f>SUM('Quarterly Data 2001-2021'!S17:V17)</f>
        <v>33.099999999999994</v>
      </c>
      <c r="G17" s="52">
        <f>SUM('Quarterly Data 2001-2021'!W17:Z17)</f>
        <v>44.7</v>
      </c>
      <c r="H17" s="58">
        <f>SUM('Quarterly Data 2001-2021'!AA17:AD17)</f>
        <v>68.655000000000001</v>
      </c>
      <c r="I17" s="58">
        <f>SUM('Quarterly Data 2001-2021'!AE17:AH17)</f>
        <v>41.2</v>
      </c>
      <c r="J17" s="58">
        <f>SUM('Quarterly Data 2001-2021'!AI17:AL17)</f>
        <v>48.143000000000001</v>
      </c>
      <c r="K17" s="58">
        <f>SUM('Quarterly Data 2001-2021'!AM17:AP17)</f>
        <v>81</v>
      </c>
      <c r="L17" s="58">
        <v>70.400000000000006</v>
      </c>
      <c r="M17" s="58">
        <v>64</v>
      </c>
      <c r="N17" s="58">
        <f>SUM('Quarterly Data 2001-2021'!AY17:BB17)-1</f>
        <v>82</v>
      </c>
      <c r="O17" s="58">
        <f>SUM('Quarterly Data 2001-2021'!BC17:BF17)</f>
        <v>113.7</v>
      </c>
      <c r="P17" s="58">
        <v>159.69999999999999</v>
      </c>
      <c r="Q17" s="58">
        <v>167.5</v>
      </c>
      <c r="R17" s="58">
        <v>239.65</v>
      </c>
      <c r="S17" s="247">
        <v>300.91760233000002</v>
      </c>
      <c r="T17" s="247">
        <v>331.96305080999986</v>
      </c>
      <c r="U17" s="247">
        <v>417.97628681999998</v>
      </c>
      <c r="V17" s="57">
        <f>+((U17/P17)^(1/5))-1</f>
        <v>0.21218622777064478</v>
      </c>
    </row>
    <row r="18" spans="1:25" x14ac:dyDescent="0.2">
      <c r="A18" s="43" t="s">
        <v>199</v>
      </c>
      <c r="B18" s="49">
        <f>SUM('Quarterly Data 2001-2021'!C18:F18)</f>
        <v>45</v>
      </c>
      <c r="C18" s="45">
        <f>SUM('Quarterly Data 2001-2021'!G18:J18)</f>
        <v>55.7</v>
      </c>
      <c r="D18" s="45">
        <f>SUM('Quarterly Data 2001-2021'!K18:N18)</f>
        <v>54.2</v>
      </c>
      <c r="E18" s="45">
        <f>SUM('Quarterly Data 2001-2021'!O18:R18)</f>
        <v>68.599999999999994</v>
      </c>
      <c r="F18" s="45">
        <f>SUM('Quarterly Data 2001-2021'!S18:V18)</f>
        <v>93</v>
      </c>
      <c r="G18" s="45">
        <f>SUM('Quarterly Data 2001-2021'!W18:Z18)</f>
        <v>180.7</v>
      </c>
      <c r="H18" s="37">
        <f>SUM('Quarterly Data 2001-2021'!AA18:AD18)</f>
        <v>302.10000000000002</v>
      </c>
      <c r="I18" s="37">
        <f>SUM('Quarterly Data 2001-2021'!AE18:AH18)</f>
        <v>394.2</v>
      </c>
      <c r="J18" s="37">
        <f>SUM('Quarterly Data 2001-2021'!AI18:AL18)</f>
        <v>136.9</v>
      </c>
      <c r="K18" s="37">
        <f>SUM('Quarterly Data 2001-2021'!AM18:AP18)+1</f>
        <v>174</v>
      </c>
      <c r="L18" s="37">
        <f>SUM('Quarterly Data 2001-2021'!AQ18:AT18)</f>
        <v>335.70056799999998</v>
      </c>
      <c r="M18" s="37">
        <f>SUM('Quarterly Data 2001-2021'!AU18:AX18)</f>
        <v>293.68857800000001</v>
      </c>
      <c r="N18" s="37">
        <f>SUM('Quarterly Data 2001-2021'!AY18:BB18)</f>
        <v>233.12047100000001</v>
      </c>
      <c r="O18" s="37">
        <f>SUM('Quarterly Data 2001-2021'!BC18:BF18)</f>
        <v>222.483937</v>
      </c>
      <c r="P18" s="37">
        <f>SUM('Quarterly Data 2001-2021'!BG18:BJ18)</f>
        <v>163.135006</v>
      </c>
      <c r="Q18" s="37">
        <f>SUM('Quarterly Data 2001-2021'!BK18:BN18)</f>
        <v>177.19373303</v>
      </c>
      <c r="R18" s="37">
        <f>SUM('Quarterly Data 2001-2021'!BO18:BR18)</f>
        <v>189.80769764000001</v>
      </c>
      <c r="S18" s="37">
        <f>SUM('Quarterly Data 2001-2021'!BS18:BV18)</f>
        <v>212.42112645999998</v>
      </c>
      <c r="T18" s="37">
        <f>SUM('Quarterly Data 2001-2021'!BW18:BZ18)</f>
        <v>252.60072118999989</v>
      </c>
      <c r="U18" s="37">
        <f>SUM('Quarterly Data 2001-2021'!CA18:CD18)</f>
        <v>363.80239258</v>
      </c>
      <c r="V18" s="42">
        <f>+((U18/P18)^(1/5))-1</f>
        <v>0.17398805343890089</v>
      </c>
    </row>
    <row r="19" spans="1:25" x14ac:dyDescent="0.2">
      <c r="A19" s="43" t="s">
        <v>100</v>
      </c>
      <c r="B19" s="49">
        <f>SUM('Quarterly Data 2001-2021'!C19:F19)</f>
        <v>-17.7</v>
      </c>
      <c r="C19" s="45">
        <f>SUM('Quarterly Data 2001-2021'!G19:J19)</f>
        <v>-15.600000000000001</v>
      </c>
      <c r="D19" s="45">
        <f>SUM('Quarterly Data 2001-2021'!K19:N19)</f>
        <v>-9.0579999999999998</v>
      </c>
      <c r="E19" s="45">
        <f>SUM('Quarterly Data 2001-2021'!O19:R19)</f>
        <v>-8.8840000000000003</v>
      </c>
      <c r="F19" s="45">
        <f>SUM('Quarterly Data 2001-2021'!S19:V19)</f>
        <v>-12.545999999999999</v>
      </c>
      <c r="G19" s="45">
        <f>SUM('Quarterly Data 2001-2021'!W19:Z19)</f>
        <v>-44.856999999999999</v>
      </c>
      <c r="H19" s="37">
        <f>SUM('Quarterly Data 2001-2021'!AA19:AD19)</f>
        <v>-130.39539500000001</v>
      </c>
      <c r="I19" s="37">
        <f>SUM('Quarterly Data 2001-2021'!AE19:AH19)</f>
        <v>-204.50286300000002</v>
      </c>
      <c r="J19" s="37">
        <f>SUM('Quarterly Data 2001-2021'!AI19:AL19)</f>
        <v>-26.116951020000002</v>
      </c>
      <c r="K19" s="37">
        <f>SUM('Quarterly Data 2001-2021'!AM19:AP19)</f>
        <v>-24.143573019999998</v>
      </c>
      <c r="L19" s="37">
        <f>SUM('Quarterly Data 2001-2021'!AQ19:AT19)</f>
        <v>-96.311781019999998</v>
      </c>
      <c r="M19" s="37">
        <f>SUM('Quarterly Data 2001-2021'!AU19:AX19)</f>
        <v>-83.353935050000004</v>
      </c>
      <c r="N19" s="37">
        <f>SUM('Quarterly Data 2001-2021'!AY19:BB19)</f>
        <v>-57.746432999999996</v>
      </c>
      <c r="O19" s="37">
        <f>SUM('Quarterly Data 2001-2021'!BC19:BF19)</f>
        <v>-54.92</v>
      </c>
      <c r="P19" s="37">
        <f>SUM('Quarterly Data 2001-2021'!BG19:BJ19)</f>
        <v>-55.252000000000002</v>
      </c>
      <c r="Q19" s="37">
        <f>SUM('Quarterly Data 2001-2021'!BK19:BN19)</f>
        <v>-96.915168390000005</v>
      </c>
      <c r="R19" s="37">
        <f>SUM('Quarterly Data 2001-2021'!BO19:BR19)</f>
        <v>-110.42425214000001</v>
      </c>
      <c r="S19" s="37">
        <f>SUM('Quarterly Data 2001-2021'!BS19:BV19)</f>
        <v>-121.86219068999979</v>
      </c>
      <c r="T19" s="37">
        <f>SUM('Quarterly Data 2001-2021'!BW19:BZ19)</f>
        <v>-87.267361600000015</v>
      </c>
      <c r="U19" s="37">
        <f>SUM('Quarterly Data 2001-2021'!CA19:CD19)</f>
        <v>-80.486242719999993</v>
      </c>
      <c r="V19" s="42">
        <f>+((U19/P19)^(1/5))-1</f>
        <v>7.8138935266656606E-2</v>
      </c>
    </row>
    <row r="20" spans="1:25" s="425" customFormat="1" x14ac:dyDescent="0.2">
      <c r="A20" s="50" t="s">
        <v>27</v>
      </c>
      <c r="B20" s="56">
        <f t="shared" ref="B20:U20" si="3">SUM(B18:B19)</f>
        <v>27.3</v>
      </c>
      <c r="C20" s="52">
        <f t="shared" si="3"/>
        <v>40.1</v>
      </c>
      <c r="D20" s="52">
        <f t="shared" si="3"/>
        <v>45.142000000000003</v>
      </c>
      <c r="E20" s="52">
        <f t="shared" si="3"/>
        <v>59.715999999999994</v>
      </c>
      <c r="F20" s="52">
        <f t="shared" si="3"/>
        <v>80.454000000000008</v>
      </c>
      <c r="G20" s="52">
        <f>SUM(G18:G19)</f>
        <v>135.84299999999999</v>
      </c>
      <c r="H20" s="52">
        <f t="shared" si="3"/>
        <v>171.70460500000002</v>
      </c>
      <c r="I20" s="52">
        <f t="shared" si="3"/>
        <v>189.69713699999997</v>
      </c>
      <c r="J20" s="52">
        <f t="shared" si="3"/>
        <v>110.78304898</v>
      </c>
      <c r="K20" s="52">
        <f t="shared" si="3"/>
        <v>149.85642698000001</v>
      </c>
      <c r="L20" s="52">
        <f t="shared" si="3"/>
        <v>239.38878697999996</v>
      </c>
      <c r="M20" s="58">
        <f t="shared" si="3"/>
        <v>210.33464294999999</v>
      </c>
      <c r="N20" s="58">
        <f t="shared" si="3"/>
        <v>175.37403800000001</v>
      </c>
      <c r="O20" s="58">
        <f t="shared" si="3"/>
        <v>167.56393700000001</v>
      </c>
      <c r="P20" s="58">
        <f t="shared" si="3"/>
        <v>107.88300599999999</v>
      </c>
      <c r="Q20" s="58">
        <f t="shared" si="3"/>
        <v>80.278564639999999</v>
      </c>
      <c r="R20" s="58">
        <f t="shared" si="3"/>
        <v>79.383445500000008</v>
      </c>
      <c r="S20" s="58">
        <f t="shared" si="3"/>
        <v>90.55893577000019</v>
      </c>
      <c r="T20" s="58">
        <f t="shared" si="3"/>
        <v>165.33335958999987</v>
      </c>
      <c r="U20" s="58">
        <f t="shared" si="3"/>
        <v>283.31614986</v>
      </c>
      <c r="V20" s="57">
        <f>+((U20/P20)^(1/5))-1</f>
        <v>0.21300798142982558</v>
      </c>
    </row>
    <row r="21" spans="1:25" x14ac:dyDescent="0.2">
      <c r="A21" s="43" t="s">
        <v>116</v>
      </c>
      <c r="B21" s="49" t="s">
        <v>35</v>
      </c>
      <c r="C21" s="45" t="s">
        <v>35</v>
      </c>
      <c r="D21" s="45" t="s">
        <v>35</v>
      </c>
      <c r="E21" s="45" t="s">
        <v>35</v>
      </c>
      <c r="F21" s="45" t="s">
        <v>35</v>
      </c>
      <c r="G21" s="45" t="s">
        <v>35</v>
      </c>
      <c r="H21" s="37" t="s">
        <v>35</v>
      </c>
      <c r="I21" s="37" t="s">
        <v>35</v>
      </c>
      <c r="J21" s="37" t="s">
        <v>35</v>
      </c>
      <c r="K21" s="37" t="s">
        <v>35</v>
      </c>
      <c r="L21" s="37" t="s">
        <v>35</v>
      </c>
      <c r="M21" s="37" t="s">
        <v>35</v>
      </c>
      <c r="N21" s="37" t="s">
        <v>35</v>
      </c>
      <c r="O21" s="37" t="s">
        <v>35</v>
      </c>
      <c r="P21" s="37" t="s">
        <v>35</v>
      </c>
      <c r="Q21" s="37">
        <f>SUM('Quarterly Data 2001-2021'!BK21:BN21)</f>
        <v>52.57</v>
      </c>
      <c r="R21" s="37">
        <f>SUM('Quarterly Data 2001-2021'!BO21:BR21)</f>
        <v>55.63</v>
      </c>
      <c r="S21" s="37">
        <f>SUM('Quarterly Data 2001-2021'!BS21:BV21)</f>
        <v>66.482328510000002</v>
      </c>
      <c r="T21" s="37">
        <f>SUM('Quarterly Data 2001-2021'!BW21:BZ21)</f>
        <v>76.287522680000009</v>
      </c>
      <c r="U21" s="37">
        <f>SUM('Quarterly Data 2001-2021'!CA21:CD21)</f>
        <v>102.60484598000001</v>
      </c>
      <c r="V21" s="42" t="s">
        <v>35</v>
      </c>
    </row>
    <row r="22" spans="1:25" x14ac:dyDescent="0.2">
      <c r="A22" s="43" t="s">
        <v>117</v>
      </c>
      <c r="B22" s="49" t="s">
        <v>35</v>
      </c>
      <c r="C22" s="45" t="s">
        <v>35</v>
      </c>
      <c r="D22" s="45" t="s">
        <v>35</v>
      </c>
      <c r="E22" s="45" t="s">
        <v>35</v>
      </c>
      <c r="F22" s="45" t="s">
        <v>35</v>
      </c>
      <c r="G22" s="45" t="s">
        <v>35</v>
      </c>
      <c r="H22" s="37" t="s">
        <v>35</v>
      </c>
      <c r="I22" s="37" t="s">
        <v>35</v>
      </c>
      <c r="J22" s="37" t="s">
        <v>35</v>
      </c>
      <c r="K22" s="37" t="s">
        <v>35</v>
      </c>
      <c r="L22" s="37" t="s">
        <v>35</v>
      </c>
      <c r="M22" s="37" t="s">
        <v>35</v>
      </c>
      <c r="N22" s="37" t="s">
        <v>35</v>
      </c>
      <c r="O22" s="37" t="s">
        <v>35</v>
      </c>
      <c r="P22" s="37" t="s">
        <v>35</v>
      </c>
      <c r="Q22" s="37">
        <f>SUM('Quarterly Data 2001-2021'!BK22:BN22)</f>
        <v>30.85</v>
      </c>
      <c r="R22" s="37">
        <f>SUM('Quarterly Data 2001-2021'!BO22:BR22)</f>
        <v>34.53</v>
      </c>
      <c r="S22" s="37">
        <f>SUM('Quarterly Data 2001-2021'!BS22:BV22)</f>
        <v>23.597776060000001</v>
      </c>
      <c r="T22" s="37">
        <f>SUM('Quarterly Data 2001-2021'!BW22:BZ22)</f>
        <v>27.287596000000001</v>
      </c>
      <c r="U22" s="37">
        <f>SUM('Quarterly Data 2001-2021'!CA22:CD22)</f>
        <v>36.712558999999999</v>
      </c>
      <c r="V22" s="42" t="s">
        <v>35</v>
      </c>
    </row>
    <row r="23" spans="1:25" x14ac:dyDescent="0.2">
      <c r="A23" s="43" t="s">
        <v>200</v>
      </c>
      <c r="B23" s="37" t="s">
        <v>50</v>
      </c>
      <c r="C23" s="37" t="s">
        <v>50</v>
      </c>
      <c r="D23" s="37" t="s">
        <v>50</v>
      </c>
      <c r="E23" s="37" t="s">
        <v>50</v>
      </c>
      <c r="F23" s="37" t="s">
        <v>50</v>
      </c>
      <c r="G23" s="37" t="s">
        <v>50</v>
      </c>
      <c r="H23" s="37" t="s">
        <v>50</v>
      </c>
      <c r="I23" s="37" t="s">
        <v>50</v>
      </c>
      <c r="J23" s="37" t="s">
        <v>50</v>
      </c>
      <c r="K23" s="37" t="s">
        <v>50</v>
      </c>
      <c r="L23" s="37" t="s">
        <v>50</v>
      </c>
      <c r="M23" s="37" t="s">
        <v>50</v>
      </c>
      <c r="N23" s="37" t="s">
        <v>50</v>
      </c>
      <c r="O23" s="37" t="s">
        <v>50</v>
      </c>
      <c r="P23" s="37" t="s">
        <v>50</v>
      </c>
      <c r="Q23" s="37">
        <f>SUM('Quarterly Data 2001-2021'!BK23:BN23)</f>
        <v>93.695191560000453</v>
      </c>
      <c r="R23" s="37">
        <f>SUM('Quarterly Data 2001-2021'!BO23:BR23)</f>
        <v>93.197543430000323</v>
      </c>
      <c r="S23" s="37">
        <f>SUM('Quarterly Data 2001-2021'!BS23:BV23)</f>
        <v>101.20223759000015</v>
      </c>
      <c r="T23" s="37">
        <f>SUM('Quarterly Data 2001-2021'!BW23:BZ23)</f>
        <v>111.17131880000012</v>
      </c>
      <c r="U23" s="37">
        <f>SUM('Quarterly Data 2001-2021'!CA23:CD23)</f>
        <v>126.39655367000032</v>
      </c>
      <c r="V23" s="42" t="s">
        <v>35</v>
      </c>
    </row>
    <row r="24" spans="1:25" x14ac:dyDescent="0.2">
      <c r="A24" s="43" t="s">
        <v>201</v>
      </c>
      <c r="B24" s="37" t="s">
        <v>50</v>
      </c>
      <c r="C24" s="37" t="s">
        <v>50</v>
      </c>
      <c r="D24" s="37" t="s">
        <v>50</v>
      </c>
      <c r="E24" s="37" t="s">
        <v>50</v>
      </c>
      <c r="F24" s="37" t="s">
        <v>50</v>
      </c>
      <c r="G24" s="37" t="s">
        <v>50</v>
      </c>
      <c r="H24" s="37" t="s">
        <v>50</v>
      </c>
      <c r="I24" s="37" t="s">
        <v>50</v>
      </c>
      <c r="J24" s="37" t="s">
        <v>50</v>
      </c>
      <c r="K24" s="37" t="s">
        <v>50</v>
      </c>
      <c r="L24" s="37" t="s">
        <v>50</v>
      </c>
      <c r="M24" s="37" t="s">
        <v>50</v>
      </c>
      <c r="N24" s="37" t="s">
        <v>50</v>
      </c>
      <c r="O24" s="37" t="s">
        <v>50</v>
      </c>
      <c r="P24" s="37" t="s">
        <v>50</v>
      </c>
      <c r="Q24" s="37">
        <f>SUM('Quarterly Data 2001-2021'!BK24:BN24)</f>
        <v>-69.753584859999989</v>
      </c>
      <c r="R24" s="37">
        <f>SUM('Quarterly Data 2001-2021'!BO24:BR24)</f>
        <v>-78.680150159999982</v>
      </c>
      <c r="S24" s="37">
        <f>SUM('Quarterly Data 2001-2021'!BS24:BV24)</f>
        <v>-97.856370469999987</v>
      </c>
      <c r="T24" s="37">
        <f>SUM('Quarterly Data 2001-2021'!BW24:BZ24)</f>
        <v>-109.64331969999999</v>
      </c>
      <c r="U24" s="37">
        <f>SUM('Quarterly Data 2001-2021'!CA24:CD24)</f>
        <v>-142.71433100270346</v>
      </c>
      <c r="V24" s="42" t="s">
        <v>35</v>
      </c>
    </row>
    <row r="25" spans="1:25" s="426" customFormat="1" ht="15" x14ac:dyDescent="0.2">
      <c r="A25" s="366" t="s">
        <v>215</v>
      </c>
      <c r="B25" s="408">
        <f>SUM('Quarterly Data 2001-2021'!C25:F25)</f>
        <v>9.4000000000000021</v>
      </c>
      <c r="C25" s="367">
        <f>SUM('Quarterly Data 2001-2021'!G25:J25)</f>
        <v>5.1000000000000032</v>
      </c>
      <c r="D25" s="367">
        <f>SUM('Quarterly Data 2001-2021'!K25:N25)</f>
        <v>10.299999999999997</v>
      </c>
      <c r="E25" s="367">
        <f>SUM('Quarterly Data 2001-2021'!O25:R25)</f>
        <v>17.499999999999996</v>
      </c>
      <c r="F25" s="367">
        <f>SUM('Quarterly Data 2001-2021'!S25:V25)</f>
        <v>13.299999999999997</v>
      </c>
      <c r="G25" s="367">
        <f>SUM('Quarterly Data 2001-2021'!W25:Z25)</f>
        <v>30.299999999999983</v>
      </c>
      <c r="H25" s="409">
        <f>SUM('Quarterly Data 2001-2021'!AA25:AD25)</f>
        <v>57.78</v>
      </c>
      <c r="I25" s="409">
        <f>SUM('Quarterly Data 2001-2021'!AE25:AH25)</f>
        <v>44.579999999999984</v>
      </c>
      <c r="J25" s="409">
        <f>SUM('Quarterly Data 2001-2021'!AI25:AL25)</f>
        <v>48.687999999999988</v>
      </c>
      <c r="K25" s="409">
        <f>SUM('Quarterly Data 2001-2021'!AM25:AP25)</f>
        <v>63</v>
      </c>
      <c r="L25" s="409">
        <f>SUM('Quarterly Data 2001-2021'!AQ25:AT25)</f>
        <v>62.299432000000003</v>
      </c>
      <c r="M25" s="409">
        <f>SUM('Quarterly Data 2001-2021'!AU25:AX25)</f>
        <v>65.311421999999993</v>
      </c>
      <c r="N25" s="409">
        <f>SUM('Quarterly Data 2001-2021'!AY25:BB25)</f>
        <v>75.879529000000005</v>
      </c>
      <c r="O25" s="409">
        <f>SUM('Quarterly Data 2001-2021'!BC25:BF25)</f>
        <v>110.90606299999999</v>
      </c>
      <c r="P25" s="409">
        <f>SUM('Quarterly Data 2001-2021'!BG25:BJ25)</f>
        <v>148.16499400000001</v>
      </c>
      <c r="Q25" s="409">
        <f>SUM('Quarterly Data 2001-2021'!BK25:BN25)</f>
        <v>23.941606700000456</v>
      </c>
      <c r="R25" s="409">
        <f>SUM('Quarterly Data 2001-2021'!BO25:BR25)</f>
        <v>14.517393270000341</v>
      </c>
      <c r="S25" s="409">
        <f>SUM('Quarterly Data 2001-2021'!BS25:BV25)</f>
        <v>3.3458671200001753</v>
      </c>
      <c r="T25" s="409">
        <f>SUM('Quarterly Data 2001-2021'!BW25:BZ25)</f>
        <v>1.5279991000001409</v>
      </c>
      <c r="U25" s="409">
        <f>SUM('Quarterly Data 2001-2021'!CA25:CD25)</f>
        <v>-16.317777332703162</v>
      </c>
      <c r="V25" s="410">
        <f>+((U25/P25)^(1/5))-1</f>
        <v>-1.6432548641951223</v>
      </c>
      <c r="Y25" s="485"/>
    </row>
    <row r="26" spans="1:25" x14ac:dyDescent="0.2">
      <c r="A26" s="43" t="s">
        <v>28</v>
      </c>
      <c r="B26" s="49">
        <f>SUM('Quarterly Data 2001-2021'!C26:F26)</f>
        <v>2.1</v>
      </c>
      <c r="C26" s="45">
        <f>SUM('Quarterly Data 2001-2021'!G26:J26)</f>
        <v>4.7</v>
      </c>
      <c r="D26" s="45">
        <f>SUM('Quarterly Data 2001-2021'!K26:N26)</f>
        <v>0.7</v>
      </c>
      <c r="E26" s="45">
        <f>SUM('Quarterly Data 2001-2021'!O26:R26)</f>
        <v>0.8</v>
      </c>
      <c r="F26" s="45">
        <f>SUM('Quarterly Data 2001-2021'!S26:V26)</f>
        <v>0.30000000000000004</v>
      </c>
      <c r="G26" s="45">
        <f>SUM('Quarterly Data 2001-2021'!W26:Z26)</f>
        <v>0.7</v>
      </c>
      <c r="H26" s="45">
        <f>SUM('Quarterly Data 2001-2021'!AA26:AD26)</f>
        <v>0.71900000000000008</v>
      </c>
      <c r="I26" s="45">
        <f>SUM('Quarterly Data 2001-2021'!AE26:AH26)</f>
        <v>1.3</v>
      </c>
      <c r="J26" s="45">
        <f>SUM('Quarterly Data 2001-2021'!AI26:AL26)</f>
        <v>1.4</v>
      </c>
      <c r="K26" s="45">
        <f>SUM('Quarterly Data 2001-2021'!AM26:AP26)</f>
        <v>-9</v>
      </c>
      <c r="L26" s="409">
        <f>SUM('Quarterly Data 2001-2021'!AQ26:AT26)</f>
        <v>1</v>
      </c>
      <c r="M26" s="37">
        <v>-7</v>
      </c>
      <c r="N26" s="37">
        <f>SUM('Quarterly Data 2001-2021'!AY26:BB26)</f>
        <v>1</v>
      </c>
      <c r="O26" s="37">
        <f>SUM('Quarterly Data 2001-2021'!BC26:BF26)</f>
        <v>0.16364570000000003</v>
      </c>
      <c r="P26" s="37">
        <f>SUM('Quarterly Data 2001-2021'!BG26:BJ26)</f>
        <v>1.5629999999999999</v>
      </c>
      <c r="Q26" s="37">
        <f>SUM('Quarterly Data 2001-2021'!BK26:BN26)</f>
        <v>3.4826680099999998</v>
      </c>
      <c r="R26" s="37">
        <f>SUM('Quarterly Data 2001-2021'!BO26:BR26)</f>
        <v>2.483725699999999</v>
      </c>
      <c r="S26" s="37">
        <f>SUM('Quarterly Data 2001-2021'!BS26:BV26)</f>
        <v>2.0275584699999984</v>
      </c>
      <c r="T26" s="37">
        <f>SUM('Quarterly Data 2001-2021'!BW26:BZ26)</f>
        <v>0.47281076000000022</v>
      </c>
      <c r="U26" s="45">
        <f>SUM('Quarterly Data 2001-2021'!CA26:CD26)</f>
        <v>67.185015659999991</v>
      </c>
      <c r="V26" s="42">
        <f>+((U26/P26)^(1/5))-1</f>
        <v>1.1215960050007148</v>
      </c>
    </row>
    <row r="27" spans="1:25" x14ac:dyDescent="0.2">
      <c r="A27" s="195" t="s">
        <v>43</v>
      </c>
      <c r="B27" s="39">
        <f>SUM('Quarterly Data 2001-2021'!C27:F27)</f>
        <v>3.5000000000000004</v>
      </c>
      <c r="C27" s="39">
        <f>SUM('Quarterly Data 2001-2021'!G27:J27)</f>
        <v>0.89999999999999991</v>
      </c>
      <c r="D27" s="39">
        <f>SUM('Quarterly Data 2001-2021'!K27:N27)</f>
        <v>2.5</v>
      </c>
      <c r="E27" s="39">
        <f>SUM('Quarterly Data 2001-2021'!O27:R27)</f>
        <v>1.4000000000000001</v>
      </c>
      <c r="F27" s="39">
        <f>SUM('Quarterly Data 2001-2021'!S27:V27)</f>
        <v>2.5</v>
      </c>
      <c r="G27" s="39">
        <f>SUM('Quarterly Data 2001-2021'!W27:Z27)</f>
        <v>1.5999999999999999</v>
      </c>
      <c r="H27" s="39">
        <f>SUM('Quarterly Data 2001-2021'!AA27:AD27)</f>
        <v>0</v>
      </c>
      <c r="I27" s="39">
        <f>SUM('Quarterly Data 2001-2021'!AE27:AH27)</f>
        <v>0</v>
      </c>
      <c r="J27" s="39">
        <f>SUM('Quarterly Data 2001-2021'!AI27:AL27)</f>
        <v>0</v>
      </c>
      <c r="K27" s="39">
        <f>SUM('Quarterly Data 2001-2021'!AM27:AP27)</f>
        <v>0</v>
      </c>
      <c r="L27" s="37">
        <f>SUM('Quarterly Data 2001-2021'!AQ27:AT27)</f>
        <v>4</v>
      </c>
      <c r="M27" s="37">
        <f>SUM('Quarterly Data 2001-2021'!AU27:AX27)</f>
        <v>2</v>
      </c>
      <c r="N27" s="37">
        <f>SUM('Quarterly Data 2001-2021'!AY27:BB27)</f>
        <v>0</v>
      </c>
      <c r="O27" s="37">
        <f>SUM('Quarterly Data 2001-2021'!BC27:BF27)</f>
        <v>1.9E-2</v>
      </c>
      <c r="P27" s="37">
        <f>SUM('Quarterly Data 2001-2021'!BG27:BJ27)</f>
        <v>0</v>
      </c>
      <c r="Q27" s="39">
        <f>SUM('Quarterly Data 2001-2021'!BK27:BN27)</f>
        <v>0</v>
      </c>
      <c r="R27" s="39">
        <f>SUM('Quarterly Data 2001-2021'!BO27:BR27)</f>
        <v>0.12053926000000001</v>
      </c>
      <c r="S27" s="39">
        <f>SUM('Quarterly Data 2001-2021'!BS27:BV27)</f>
        <v>0.14042399999999999</v>
      </c>
      <c r="T27" s="39">
        <f>SUM('Quarterly Data 2001-2021'!BW27:BZ27)</f>
        <v>6.39097E-2</v>
      </c>
      <c r="U27" s="39">
        <f>SUM('Quarterly Data 2001-2021'!CA27:CD27)</f>
        <v>6.5542400000000001E-2</v>
      </c>
      <c r="V27" s="42" t="s">
        <v>35</v>
      </c>
    </row>
    <row r="28" spans="1:25" x14ac:dyDescent="0.2">
      <c r="A28" s="411" t="s">
        <v>157</v>
      </c>
      <c r="B28" s="294">
        <f>B25+B26+B27</f>
        <v>15.000000000000002</v>
      </c>
      <c r="C28" s="294">
        <f t="shared" ref="C28:N28" si="4">C25+C26+C27</f>
        <v>10.700000000000005</v>
      </c>
      <c r="D28" s="294">
        <f t="shared" si="4"/>
        <v>13.499999999999996</v>
      </c>
      <c r="E28" s="294">
        <f t="shared" si="4"/>
        <v>19.699999999999996</v>
      </c>
      <c r="F28" s="294">
        <f t="shared" si="4"/>
        <v>16.099999999999998</v>
      </c>
      <c r="G28" s="294">
        <f t="shared" si="4"/>
        <v>32.59999999999998</v>
      </c>
      <c r="H28" s="294">
        <f t="shared" si="4"/>
        <v>58.499000000000002</v>
      </c>
      <c r="I28" s="294">
        <f t="shared" si="4"/>
        <v>45.879999999999981</v>
      </c>
      <c r="J28" s="294">
        <f t="shared" si="4"/>
        <v>50.087999999999987</v>
      </c>
      <c r="K28" s="294">
        <f t="shared" si="4"/>
        <v>54</v>
      </c>
      <c r="L28" s="294">
        <f t="shared" si="4"/>
        <v>67.299431999999996</v>
      </c>
      <c r="M28" s="294">
        <f t="shared" si="4"/>
        <v>60.311421999999993</v>
      </c>
      <c r="N28" s="294">
        <f t="shared" si="4"/>
        <v>76.879529000000005</v>
      </c>
      <c r="O28" s="294">
        <f>O25+O26+O27</f>
        <v>111.0887087</v>
      </c>
      <c r="P28" s="294">
        <f>P25+P26+P27</f>
        <v>149.727994</v>
      </c>
      <c r="Q28" s="294">
        <f t="shared" ref="Q28:S28" si="5">Q21+Q22+Q23+Q26+Q27+Q24</f>
        <v>110.84427471000046</v>
      </c>
      <c r="R28" s="294">
        <f t="shared" si="5"/>
        <v>107.28165823000032</v>
      </c>
      <c r="S28" s="294">
        <f t="shared" si="5"/>
        <v>95.593954160000166</v>
      </c>
      <c r="T28" s="294">
        <f>T21+T22+T23+T26+T27+T24</f>
        <v>105.63983824000012</v>
      </c>
      <c r="U28" s="294">
        <f>U21+U22+U23+U26+U27+U24</f>
        <v>190.25018570729688</v>
      </c>
      <c r="V28" s="57">
        <f>+((U28/P28)^(1/5))-1</f>
        <v>4.9069876465166473E-2</v>
      </c>
    </row>
    <row r="29" spans="1:25" x14ac:dyDescent="0.2">
      <c r="A29" s="398" t="s">
        <v>198</v>
      </c>
      <c r="B29" s="350">
        <f>B17+B20+B28</f>
        <v>43.1</v>
      </c>
      <c r="C29" s="350">
        <f t="shared" ref="C29:T29" si="6">C17+C20+C28</f>
        <v>52.800000000000004</v>
      </c>
      <c r="D29" s="350">
        <f t="shared" si="6"/>
        <v>60.542000000000002</v>
      </c>
      <c r="E29" s="350">
        <f t="shared" si="6"/>
        <v>86.71599999999998</v>
      </c>
      <c r="F29" s="350">
        <f t="shared" si="6"/>
        <v>129.654</v>
      </c>
      <c r="G29" s="350">
        <f t="shared" si="6"/>
        <v>213.14299999999997</v>
      </c>
      <c r="H29" s="350">
        <f t="shared" si="6"/>
        <v>298.85860500000001</v>
      </c>
      <c r="I29" s="350">
        <f t="shared" si="6"/>
        <v>276.77713699999998</v>
      </c>
      <c r="J29" s="350">
        <f t="shared" si="6"/>
        <v>209.01404898000001</v>
      </c>
      <c r="K29" s="350">
        <f t="shared" si="6"/>
        <v>284.85642698000004</v>
      </c>
      <c r="L29" s="350">
        <f t="shared" si="6"/>
        <v>377.08821897999997</v>
      </c>
      <c r="M29" s="350">
        <f t="shared" si="6"/>
        <v>334.64606494999998</v>
      </c>
      <c r="N29" s="350">
        <f t="shared" si="6"/>
        <v>334.25356700000003</v>
      </c>
      <c r="O29" s="350">
        <f t="shared" si="6"/>
        <v>392.35264569999998</v>
      </c>
      <c r="P29" s="350">
        <f t="shared" si="6"/>
        <v>417.31099999999992</v>
      </c>
      <c r="Q29" s="350">
        <f t="shared" si="6"/>
        <v>358.6228393500005</v>
      </c>
      <c r="R29" s="350">
        <f t="shared" si="6"/>
        <v>426.31510373000037</v>
      </c>
      <c r="S29" s="350">
        <f t="shared" si="6"/>
        <v>487.07049226000038</v>
      </c>
      <c r="T29" s="350">
        <f t="shared" si="6"/>
        <v>602.9362486399998</v>
      </c>
      <c r="U29" s="350">
        <f>U17+U20+U28</f>
        <v>891.54262238729689</v>
      </c>
      <c r="V29" s="445">
        <f>+((U29/P29)^(1/5))-1</f>
        <v>0.16395571114909591</v>
      </c>
    </row>
    <row r="30" spans="1:25" x14ac:dyDescent="0.2">
      <c r="V30" s="429"/>
    </row>
    <row r="31" spans="1:25" s="425" customFormat="1" x14ac:dyDescent="0.2">
      <c r="A31" s="402" t="s">
        <v>91</v>
      </c>
      <c r="B31" s="295">
        <f>B14+B29</f>
        <v>94.9</v>
      </c>
      <c r="C31" s="295">
        <f>C14+C29</f>
        <v>122.60000000000002</v>
      </c>
      <c r="D31" s="295">
        <f t="shared" ref="D31:U31" si="7">D14+D29</f>
        <v>149.542</v>
      </c>
      <c r="E31" s="295">
        <f t="shared" si="7"/>
        <v>209.81599999999997</v>
      </c>
      <c r="F31" s="295">
        <f t="shared" si="7"/>
        <v>283.85399999999998</v>
      </c>
      <c r="G31" s="295">
        <f t="shared" si="7"/>
        <v>452.84299999999996</v>
      </c>
      <c r="H31" s="295">
        <f t="shared" si="7"/>
        <v>554.47360500000002</v>
      </c>
      <c r="I31" s="295">
        <f t="shared" si="7"/>
        <v>506.10713699999997</v>
      </c>
      <c r="J31" s="295">
        <f t="shared" si="7"/>
        <v>508.88304898000001</v>
      </c>
      <c r="K31" s="295">
        <f t="shared" si="7"/>
        <v>613.75642698000001</v>
      </c>
      <c r="L31" s="295">
        <f t="shared" si="7"/>
        <v>682.18821897999987</v>
      </c>
      <c r="M31" s="295">
        <f t="shared" si="7"/>
        <v>550.64606494999998</v>
      </c>
      <c r="N31" s="295">
        <f t="shared" si="7"/>
        <v>579.25356699999998</v>
      </c>
      <c r="O31" s="295">
        <f t="shared" si="7"/>
        <v>678.05264569999997</v>
      </c>
      <c r="P31" s="295">
        <f t="shared" si="7"/>
        <v>896.71100000000001</v>
      </c>
      <c r="Q31" s="295">
        <f t="shared" si="7"/>
        <v>908.60283935000052</v>
      </c>
      <c r="R31" s="295">
        <f t="shared" si="7"/>
        <v>975.47510373000046</v>
      </c>
      <c r="S31" s="295">
        <f t="shared" si="7"/>
        <v>1048.9968250800002</v>
      </c>
      <c r="T31" s="295">
        <f t="shared" si="7"/>
        <v>1193.4495290299981</v>
      </c>
      <c r="U31" s="295">
        <f t="shared" si="7"/>
        <v>2348.7800692672936</v>
      </c>
      <c r="V31" s="446">
        <f t="shared" ref="V31" si="8">+((U31/P31)^(1/5))-1</f>
        <v>0.21237778825857179</v>
      </c>
      <c r="X31" s="509"/>
    </row>
    <row r="32" spans="1:25" x14ac:dyDescent="0.2">
      <c r="A32" s="10"/>
      <c r="B32" s="74"/>
      <c r="C32" s="28"/>
      <c r="D32" s="28"/>
      <c r="E32" s="28"/>
      <c r="F32" s="28"/>
      <c r="G32" s="28"/>
      <c r="H32" s="28"/>
      <c r="I32" s="28"/>
      <c r="J32" s="28"/>
      <c r="K32" s="28"/>
      <c r="L32" s="28"/>
      <c r="M32" s="264"/>
      <c r="N32" s="316"/>
      <c r="O32" s="316"/>
      <c r="P32" s="316"/>
      <c r="Q32" s="316"/>
      <c r="R32" s="316"/>
      <c r="S32" s="316"/>
      <c r="T32" s="316"/>
      <c r="U32" s="316"/>
      <c r="V32" s="75"/>
      <c r="X32" s="510"/>
    </row>
    <row r="33" spans="1:24" x14ac:dyDescent="0.2">
      <c r="A33" s="35" t="s">
        <v>118</v>
      </c>
      <c r="B33" s="76">
        <f>SUM('Quarterly Data 2001-2021'!C33:F33)</f>
        <v>-37.052399999999999</v>
      </c>
      <c r="C33" s="37">
        <f>SUM('Quarterly Data 2001-2021'!G33:J33)</f>
        <v>-37.646000000000001</v>
      </c>
      <c r="D33" s="37">
        <f>SUM('Quarterly Data 2001-2021'!K33:N33)</f>
        <v>-41.148000000000003</v>
      </c>
      <c r="E33" s="37">
        <f>SUM('Quarterly Data 2001-2021'!O33:R33)</f>
        <v>-47.688000000000002</v>
      </c>
      <c r="F33" s="37">
        <f>SUM('Quarterly Data 2001-2021'!S33:V33)</f>
        <v>-58.911999999999999</v>
      </c>
      <c r="G33" s="37">
        <f>SUM('Quarterly Data 2001-2021'!W33:Z33)</f>
        <v>-95.96</v>
      </c>
      <c r="H33" s="37">
        <f>SUM('Quarterly Data 2001-2021'!AA33:AD33)</f>
        <v>-119.43899879</v>
      </c>
      <c r="I33" s="37">
        <f>SUM('Quarterly Data 2001-2021'!AE33:AH33)</f>
        <v>-137.48495407000001</v>
      </c>
      <c r="J33" s="37">
        <f>SUM('Quarterly Data 2001-2021'!AI33:AL33)</f>
        <v>-128.18071938999998</v>
      </c>
      <c r="K33" s="37">
        <f>SUM('Quarterly Data 2001-2021'!AM33:AP33)</f>
        <v>-165.23130405999996</v>
      </c>
      <c r="L33" s="37">
        <f>SUM('Quarterly Data 2001-2021'!AQ33:AT33)</f>
        <v>-188.78086732</v>
      </c>
      <c r="M33" s="37">
        <f>SUM('Quarterly Data 2001-2021'!AU33:AX33)</f>
        <v>-206.90358169999996</v>
      </c>
      <c r="N33" s="37">
        <f>SUM('Quarterly Data 2001-2021'!AY33:BB33)</f>
        <v>-210.3</v>
      </c>
      <c r="O33" s="37">
        <f>SUM('Quarterly Data 2001-2021'!BC33:BF33)</f>
        <v>-233.82</v>
      </c>
      <c r="P33" s="37">
        <f>SUM('Quarterly Data 2001-2021'!BG33:BJ33)</f>
        <v>-266.18</v>
      </c>
      <c r="Q33" s="37">
        <f>SUM('Quarterly Data 2001-2021'!BK33:BN33)</f>
        <v>-290.45000000000005</v>
      </c>
      <c r="R33" s="37">
        <f>SUM('Quarterly Data 2001-2021'!BO33:BR33)</f>
        <v>-340.07999999999993</v>
      </c>
      <c r="S33" s="37">
        <f>SUM('Quarterly Data 2001-2021'!BS33:BV33)</f>
        <v>-367.34749507999982</v>
      </c>
      <c r="T33" s="37">
        <f>SUM('Quarterly Data 2001-2021'!BW33:BZ33)</f>
        <v>-414.45556788438796</v>
      </c>
      <c r="U33" s="37">
        <f>SUM('Quarterly Data 2001-2021'!CA33:CD33)</f>
        <v>-468.73503128013169</v>
      </c>
      <c r="V33" s="42">
        <f>+((U33/P33)^(1/5))-1</f>
        <v>0.1198256173269443</v>
      </c>
      <c r="X33" s="510"/>
    </row>
    <row r="34" spans="1:24" x14ac:dyDescent="0.2">
      <c r="A34" s="35" t="s">
        <v>119</v>
      </c>
      <c r="B34" s="76">
        <f>SUM('Quarterly Data 2001-2021'!C34:F34)</f>
        <v>-2.9914000000000001</v>
      </c>
      <c r="C34" s="37">
        <f>SUM('Quarterly Data 2001-2021'!G34:J34)</f>
        <v>-5.242</v>
      </c>
      <c r="D34" s="37">
        <f>SUM('Quarterly Data 2001-2021'!K34:N34)</f>
        <v>-5.5049999999999999</v>
      </c>
      <c r="E34" s="37">
        <f>SUM('Quarterly Data 2001-2021'!O34:R34)</f>
        <v>-10.077000000000002</v>
      </c>
      <c r="F34" s="37">
        <f>SUM('Quarterly Data 2001-2021'!S34:V34)</f>
        <v>-19.420000000000002</v>
      </c>
      <c r="G34" s="37">
        <f>SUM('Quarterly Data 2001-2021'!W34:Z34)</f>
        <v>-42.737000000000002</v>
      </c>
      <c r="H34" s="37">
        <f>SUM('Quarterly Data 2001-2021'!AA34:AD34)</f>
        <v>-49.399032161000001</v>
      </c>
      <c r="I34" s="37">
        <f>SUM('Quarterly Data 2001-2021'!AE34:AH34)</f>
        <v>-31.194073780000004</v>
      </c>
      <c r="J34" s="37">
        <f>SUM('Quarterly Data 2001-2021'!AI34:AL34)</f>
        <v>-22.245648760000002</v>
      </c>
      <c r="K34" s="37">
        <f>SUM('Quarterly Data 2001-2021'!AM34:AP34)</f>
        <v>-23.34395327</v>
      </c>
      <c r="L34" s="37">
        <f>SUM('Quarterly Data 2001-2021'!AQ34:AT34)</f>
        <v>-23.20240566</v>
      </c>
      <c r="M34" s="37">
        <f>SUM('Quarterly Data 2001-2021'!AU34:AX34)</f>
        <v>-20.977883630000001</v>
      </c>
      <c r="N34" s="37">
        <f>SUM('Quarterly Data 2001-2021'!AY34:BB34)</f>
        <v>-15.010000000000002</v>
      </c>
      <c r="O34" s="37">
        <f>SUM('Quarterly Data 2001-2021'!BC34:BF34)</f>
        <v>-19.57</v>
      </c>
      <c r="P34" s="37">
        <f>SUM('Quarterly Data 2001-2021'!BG34:BJ34)</f>
        <v>-18.25</v>
      </c>
      <c r="Q34" s="37">
        <f>SUM('Quarterly Data 2001-2021'!BK34:BN34)</f>
        <v>-21.66</v>
      </c>
      <c r="R34" s="37">
        <f>SUM('Quarterly Data 2001-2021'!BO34:BR34)</f>
        <v>-18.310000000000002</v>
      </c>
      <c r="S34" s="38">
        <f>SUM('Quarterly Data 2001-2021'!BS34:BV34)</f>
        <v>-16.855962690000002</v>
      </c>
      <c r="T34" s="37">
        <f>SUM('Quarterly Data 2001-2021'!BW34:BZ34)</f>
        <v>-18.586831700000001</v>
      </c>
      <c r="U34" s="37">
        <f>SUM('Quarterly Data 2001-2021'!CA34:CD34)</f>
        <v>-21.814807559999998</v>
      </c>
      <c r="V34" s="42">
        <f>+((U34/P34)^(1/5))-1</f>
        <v>3.6329124380271027E-2</v>
      </c>
      <c r="X34" s="510"/>
    </row>
    <row r="35" spans="1:24" x14ac:dyDescent="0.2">
      <c r="A35" s="43" t="s">
        <v>31</v>
      </c>
      <c r="B35" s="76">
        <f>SUM('Quarterly Data 2001-2021'!C35:F35)</f>
        <v>-7.6270999999999987</v>
      </c>
      <c r="C35" s="37">
        <f>SUM('Quarterly Data 2001-2021'!G35:J35)</f>
        <v>-10.989000000000001</v>
      </c>
      <c r="D35" s="37">
        <f>SUM('Quarterly Data 2001-2021'!K35:N35)</f>
        <v>-5.7650000000000006</v>
      </c>
      <c r="E35" s="37">
        <f>SUM('Quarterly Data 2001-2021'!O35:R35)</f>
        <v>-4.4119999999999999</v>
      </c>
      <c r="F35" s="37">
        <f>SUM('Quarterly Data 2001-2021'!S35:V35)</f>
        <v>-6.3079999999999998</v>
      </c>
      <c r="G35" s="37">
        <f>SUM('Quarterly Data 2001-2021'!W35:Z35)</f>
        <v>-8.17</v>
      </c>
      <c r="H35" s="37">
        <f>SUM('Quarterly Data 2001-2021'!AA35:AD35)</f>
        <v>-9.7170438000000008</v>
      </c>
      <c r="I35" s="37">
        <f>SUM('Quarterly Data 2001-2021'!AE35:AH35)</f>
        <v>-12.337513403499999</v>
      </c>
      <c r="J35" s="37">
        <f>SUM('Quarterly Data 2001-2021'!AI35:AL35)</f>
        <v>-8.1172176083330001</v>
      </c>
      <c r="K35" s="37">
        <f>SUM('Quarterly Data 2001-2021'!AM35:AP35)</f>
        <v>-11.164597249107</v>
      </c>
      <c r="L35" s="37">
        <f>SUM('Quarterly Data 2001-2021'!AQ35:AT35)</f>
        <v>-11.30875874</v>
      </c>
      <c r="M35" s="37">
        <f>SUM('Quarterly Data 2001-2021'!AU35:AX35)</f>
        <v>-13.04297588</v>
      </c>
      <c r="N35" s="37">
        <f>SUM('Quarterly Data 2001-2021'!AY35:BB35)</f>
        <v>-10.11</v>
      </c>
      <c r="O35" s="37">
        <f>SUM('Quarterly Data 2001-2021'!BC35:BF35)</f>
        <v>-7.46</v>
      </c>
      <c r="P35" s="37">
        <f>SUM('Quarterly Data 2001-2021'!BG35:BJ35)</f>
        <v>-8.2200000000000006</v>
      </c>
      <c r="Q35" s="37">
        <f>SUM('Quarterly Data 2001-2021'!BK35:BN35)</f>
        <v>-8.06</v>
      </c>
      <c r="R35" s="37">
        <f>SUM('Quarterly Data 2001-2021'!BO35:BR35)</f>
        <v>-12.11</v>
      </c>
      <c r="S35" s="38">
        <f>SUM('Quarterly Data 2001-2021'!BS35:BV35)</f>
        <v>-19.655808380000028</v>
      </c>
      <c r="T35" s="37">
        <f>SUM('Quarterly Data 2001-2021'!BW35:BZ35)</f>
        <v>-63.12523814999988</v>
      </c>
      <c r="U35" s="37">
        <f>SUM('Quarterly Data 2001-2021'!CA35:CD35)</f>
        <v>-84.189470720000031</v>
      </c>
      <c r="V35" s="42">
        <f>+((U35/P35)^(1/5))-1</f>
        <v>0.59249175444123003</v>
      </c>
      <c r="X35" s="510"/>
    </row>
    <row r="36" spans="1:24" x14ac:dyDescent="0.2">
      <c r="A36" s="78" t="s">
        <v>120</v>
      </c>
      <c r="B36" s="82">
        <f>SUM('Quarterly Data 2001-2021'!C36:F36)</f>
        <v>-37.836399999999998</v>
      </c>
      <c r="C36" s="63">
        <f>SUM('Quarterly Data 2001-2021'!G36:J36)</f>
        <v>-41.747</v>
      </c>
      <c r="D36" s="63">
        <f>SUM('Quarterly Data 2001-2021'!K36:N36)</f>
        <v>-38.248999999999995</v>
      </c>
      <c r="E36" s="63">
        <f>SUM('Quarterly Data 2001-2021'!O36:R36)</f>
        <v>-46.501000000000005</v>
      </c>
      <c r="F36" s="63">
        <f>SUM('Quarterly Data 2001-2021'!S36:V36)</f>
        <v>-52.593999999999994</v>
      </c>
      <c r="G36" s="63">
        <f>SUM('Quarterly Data 2001-2021'!W36:Z36)</f>
        <v>-62.108999999999995</v>
      </c>
      <c r="H36" s="63">
        <f>SUM('Quarterly Data 2001-2021'!AA36:AD36)</f>
        <v>-68.066469290000015</v>
      </c>
      <c r="I36" s="63">
        <f>SUM('Quarterly Data 2001-2021'!AE36:AH36)</f>
        <v>-85.593984269999993</v>
      </c>
      <c r="J36" s="63">
        <f>SUM('Quarterly Data 2001-2021'!AI36:AL36)</f>
        <v>-70.338943659999998</v>
      </c>
      <c r="K36" s="63">
        <f>SUM('Quarterly Data 2001-2021'!AM36:AP36)</f>
        <v>-82.813340600000004</v>
      </c>
      <c r="L36" s="63">
        <f>SUM('Quarterly Data 2001-2021'!AQ36:AT36)</f>
        <v>-113.22397518</v>
      </c>
      <c r="M36" s="63">
        <f>SUM('Quarterly Data 2001-2021'!AU36:AX36)</f>
        <v>-108.757478679736</v>
      </c>
      <c r="N36" s="63">
        <f>SUM('Quarterly Data 2001-2021'!AY36:BB36)</f>
        <v>-117.52000000000001</v>
      </c>
      <c r="O36" s="63">
        <f>SUM('Quarterly Data 2001-2021'!BC36:BF36)</f>
        <v>-121.88999999999999</v>
      </c>
      <c r="P36" s="63">
        <f>SUM('Quarterly Data 2001-2021'!BG36:BJ36)</f>
        <v>-118.36</v>
      </c>
      <c r="Q36" s="63">
        <f>SUM('Quarterly Data 2001-2021'!BK36:BN36)</f>
        <v>-123.07999999999998</v>
      </c>
      <c r="R36" s="63">
        <f>SUM('Quarterly Data 2001-2021'!BO36:BR36)</f>
        <v>-164.35000000000002</v>
      </c>
      <c r="S36" s="79">
        <f>SUM('Quarterly Data 2001-2021'!BS36:BV36)</f>
        <v>-225.44096569729501</v>
      </c>
      <c r="T36" s="28">
        <f>SUM('Quarterly Data 2001-2021'!BW36:BZ36)</f>
        <v>-169.35445757205861</v>
      </c>
      <c r="U36" s="28">
        <f>SUM('Quarterly Data 2001-2021'!CA36:CD36)</f>
        <v>-187.85353861902178</v>
      </c>
      <c r="V36" s="42">
        <f>+((U36/P36)^(1/5))-1</f>
        <v>9.6788491437176161E-2</v>
      </c>
    </row>
    <row r="37" spans="1:24" s="425" customFormat="1" x14ac:dyDescent="0.2">
      <c r="A37" s="64" t="s">
        <v>202</v>
      </c>
      <c r="B37" s="84">
        <f t="shared" ref="B37:N37" si="9">SUM(B33:B36)</f>
        <v>-85.507299999999987</v>
      </c>
      <c r="C37" s="66">
        <f t="shared" si="9"/>
        <v>-95.623999999999995</v>
      </c>
      <c r="D37" s="66">
        <f t="shared" si="9"/>
        <v>-90.667000000000002</v>
      </c>
      <c r="E37" s="66">
        <f t="shared" si="9"/>
        <v>-108.678</v>
      </c>
      <c r="F37" s="66">
        <f t="shared" si="9"/>
        <v>-137.23399999999998</v>
      </c>
      <c r="G37" s="66">
        <f t="shared" si="9"/>
        <v>-208.976</v>
      </c>
      <c r="H37" s="66">
        <f t="shared" si="9"/>
        <v>-246.62154404100002</v>
      </c>
      <c r="I37" s="66">
        <f t="shared" si="9"/>
        <v>-266.61052552349997</v>
      </c>
      <c r="J37" s="66">
        <f t="shared" si="9"/>
        <v>-228.88252941833298</v>
      </c>
      <c r="K37" s="66">
        <f t="shared" si="9"/>
        <v>-282.55319517910698</v>
      </c>
      <c r="L37" s="66">
        <f t="shared" si="9"/>
        <v>-336.51600689999998</v>
      </c>
      <c r="M37" s="66">
        <f t="shared" si="9"/>
        <v>-349.68191988973598</v>
      </c>
      <c r="N37" s="66">
        <f t="shared" si="9"/>
        <v>-352.94000000000005</v>
      </c>
      <c r="O37" s="66">
        <f>SUM(O33:O36)</f>
        <v>-382.73999999999995</v>
      </c>
      <c r="P37" s="83">
        <v>-411</v>
      </c>
      <c r="Q37" s="83">
        <v>-443.2</v>
      </c>
      <c r="R37" s="83">
        <v>-534.79999999999995</v>
      </c>
      <c r="S37" s="83">
        <f>SUM(S33:S36)</f>
        <v>-629.30023184729487</v>
      </c>
      <c r="T37" s="67">
        <f>SUM(T33:T36)</f>
        <v>-665.52209530644643</v>
      </c>
      <c r="U37" s="67">
        <f>SUM(U33:U36)</f>
        <v>-762.59284817915341</v>
      </c>
      <c r="V37" s="446">
        <f>+((U37/P37)^(1/5))-1</f>
        <v>0.13159281491721142</v>
      </c>
    </row>
    <row r="38" spans="1:24" s="425" customFormat="1" x14ac:dyDescent="0.2">
      <c r="A38" s="64"/>
      <c r="B38" s="84"/>
      <c r="C38" s="66"/>
      <c r="D38" s="66"/>
      <c r="E38" s="66"/>
      <c r="F38" s="66"/>
      <c r="G38" s="66"/>
      <c r="H38" s="66"/>
      <c r="I38" s="66"/>
      <c r="J38" s="66"/>
      <c r="K38" s="66"/>
      <c r="L38" s="66"/>
      <c r="M38" s="66"/>
      <c r="N38" s="246"/>
      <c r="O38" s="246"/>
      <c r="P38" s="246"/>
      <c r="Q38" s="246"/>
      <c r="R38" s="246"/>
      <c r="S38" s="69"/>
      <c r="T38" s="69"/>
      <c r="U38" s="69"/>
      <c r="V38" s="85"/>
    </row>
    <row r="39" spans="1:24" s="425" customFormat="1" x14ac:dyDescent="0.2">
      <c r="A39" s="8" t="s">
        <v>92</v>
      </c>
      <c r="B39" s="72">
        <f t="shared" ref="B39:S39" si="10">SUM(B31,B37)</f>
        <v>9.3927000000000191</v>
      </c>
      <c r="C39" s="67">
        <f t="shared" si="10"/>
        <v>26.976000000000028</v>
      </c>
      <c r="D39" s="67">
        <f t="shared" si="10"/>
        <v>58.875</v>
      </c>
      <c r="E39" s="67">
        <f t="shared" si="10"/>
        <v>101.13799999999998</v>
      </c>
      <c r="F39" s="67">
        <f t="shared" si="10"/>
        <v>146.62</v>
      </c>
      <c r="G39" s="67">
        <f t="shared" si="10"/>
        <v>243.86699999999996</v>
      </c>
      <c r="H39" s="67">
        <f t="shared" si="10"/>
        <v>307.85206095900003</v>
      </c>
      <c r="I39" s="67">
        <f t="shared" si="10"/>
        <v>239.49661147649999</v>
      </c>
      <c r="J39" s="67">
        <f t="shared" si="10"/>
        <v>280.00051956166703</v>
      </c>
      <c r="K39" s="67">
        <f t="shared" si="10"/>
        <v>331.20323180089304</v>
      </c>
      <c r="L39" s="67">
        <f t="shared" si="10"/>
        <v>345.67221207999989</v>
      </c>
      <c r="M39" s="67">
        <f t="shared" si="10"/>
        <v>200.964145060264</v>
      </c>
      <c r="N39" s="67">
        <f t="shared" si="10"/>
        <v>226.31356699999992</v>
      </c>
      <c r="O39" s="67">
        <f t="shared" si="10"/>
        <v>295.31264570000002</v>
      </c>
      <c r="P39" s="67">
        <f t="shared" si="10"/>
        <v>485.71100000000001</v>
      </c>
      <c r="Q39" s="67">
        <f t="shared" si="10"/>
        <v>465.40283935000053</v>
      </c>
      <c r="R39" s="67">
        <f t="shared" si="10"/>
        <v>440.6751037300005</v>
      </c>
      <c r="S39" s="67">
        <f t="shared" si="10"/>
        <v>419.69659323270537</v>
      </c>
      <c r="T39" s="67">
        <f>SUM(T31,T37)</f>
        <v>527.92743372355164</v>
      </c>
      <c r="U39" s="67">
        <f>SUM(U31,U37)</f>
        <v>1586.1872210881402</v>
      </c>
      <c r="V39" s="446">
        <f>+((U39/P39)^(1/5))-1</f>
        <v>0.26705451709037509</v>
      </c>
    </row>
    <row r="40" spans="1:24" s="425" customFormat="1" x14ac:dyDescent="0.2">
      <c r="A40" s="64"/>
      <c r="B40" s="84"/>
      <c r="C40" s="66"/>
      <c r="D40" s="66"/>
      <c r="E40" s="66"/>
      <c r="F40" s="66"/>
      <c r="G40" s="66"/>
      <c r="H40" s="66"/>
      <c r="I40" s="66"/>
      <c r="J40" s="66"/>
      <c r="K40" s="66"/>
      <c r="L40" s="66"/>
      <c r="M40" s="66"/>
      <c r="N40" s="66"/>
      <c r="O40" s="66"/>
      <c r="P40" s="66"/>
      <c r="Q40" s="66"/>
      <c r="R40" s="66"/>
      <c r="S40" s="69"/>
      <c r="T40" s="69"/>
      <c r="U40" s="69"/>
      <c r="V40" s="73"/>
    </row>
    <row r="41" spans="1:24" x14ac:dyDescent="0.2">
      <c r="A41" s="35" t="s">
        <v>93</v>
      </c>
      <c r="B41" s="76">
        <f>SUM('Quarterly Data 2001-2021'!C41:F41)</f>
        <v>0</v>
      </c>
      <c r="C41" s="37">
        <f>SUM('Quarterly Data 2001-2021'!G41:J41)</f>
        <v>-0.1</v>
      </c>
      <c r="D41" s="37">
        <f>SUM('Quarterly Data 2001-2021'!K41:N41)</f>
        <v>0</v>
      </c>
      <c r="E41" s="37">
        <f>SUM('Quarterly Data 2001-2021'!O41:R41)</f>
        <v>0</v>
      </c>
      <c r="F41" s="37">
        <f>SUM('Quarterly Data 2001-2021'!S41:V41)</f>
        <v>0.1</v>
      </c>
      <c r="G41" s="37">
        <f>SUM('Quarterly Data 2001-2021'!W41:Z41)</f>
        <v>0</v>
      </c>
      <c r="H41" s="37">
        <f>SUM('Quarterly Data 2001-2021'!AA41:AD41)</f>
        <v>-1.45</v>
      </c>
      <c r="I41" s="37">
        <f>SUM('Quarterly Data 2001-2021'!AE41:AH41)</f>
        <v>0</v>
      </c>
      <c r="J41" s="37">
        <f>SUM('Quarterly Data 2001-2021'!AI41:AL41)</f>
        <v>0</v>
      </c>
      <c r="K41" s="37">
        <f>SUM('Quarterly Data 2001-2021'!AM41:AP41)</f>
        <v>0</v>
      </c>
      <c r="L41" s="37">
        <f>SUM('Quarterly Data 2001-2021'!AQ41:AT41)</f>
        <v>-6</v>
      </c>
      <c r="M41" s="37">
        <f>SUM('Quarterly Data 2001-2021'!AU41:AX41)</f>
        <v>-1</v>
      </c>
      <c r="N41" s="37">
        <f>SUM('Quarterly Data 2001-2021'!AY41:BB41)</f>
        <v>-1</v>
      </c>
      <c r="O41" s="37">
        <f>SUM('Quarterly Data 2001-2021'!BC41:BF41)</f>
        <v>0.4</v>
      </c>
      <c r="P41" s="37">
        <f>SUM('Quarterly Data 2001-2021'!BG41:BJ41)</f>
        <v>-0.21566200000000002</v>
      </c>
      <c r="Q41" s="37">
        <f>SUM('Quarterly Data 2001-2021'!BK41:BN41)</f>
        <v>-0.50499499999999997</v>
      </c>
      <c r="R41" s="37">
        <f>SUM('Quarterly Data 2001-2021'!BO41:BR41)</f>
        <v>0.39028800000000002</v>
      </c>
      <c r="S41" s="38">
        <f>SUM('Quarterly Data 2001-2021'!BS41:BV41)</f>
        <v>-1.1601431</v>
      </c>
      <c r="T41" s="37">
        <f>SUM('Quarterly Data 2001-2021'!BW41:BZ41)</f>
        <v>0.32980080000000089</v>
      </c>
      <c r="U41" s="37">
        <f>SUM('Quarterly Data 2001-2021'!CA41:CD41)</f>
        <v>-3.8714396300000011</v>
      </c>
      <c r="V41" s="42" t="s">
        <v>213</v>
      </c>
    </row>
    <row r="42" spans="1:24" s="481" customFormat="1" x14ac:dyDescent="0.2">
      <c r="A42" s="12" t="s">
        <v>142</v>
      </c>
      <c r="B42" s="62">
        <f>SUM('Quarterly Data 2001-2021'!C42:F42)</f>
        <v>0</v>
      </c>
      <c r="C42" s="60">
        <f>SUM('Quarterly Data 2001-2021'!G42:J42)</f>
        <v>0</v>
      </c>
      <c r="D42" s="60">
        <f>SUM('Quarterly Data 2001-2021'!K42:N42)</f>
        <v>0</v>
      </c>
      <c r="E42" s="60">
        <f>SUM('Quarterly Data 2001-2021'!O42:R42)</f>
        <v>0</v>
      </c>
      <c r="F42" s="60">
        <f>SUM('Quarterly Data 2001-2021'!S42:V42)</f>
        <v>0</v>
      </c>
      <c r="G42" s="60">
        <f>SUM('Quarterly Data 2001-2021'!W42:Z42)</f>
        <v>0</v>
      </c>
      <c r="H42" s="60">
        <f>SUM('Quarterly Data 2001-2021'!AA42:AD42)</f>
        <v>0</v>
      </c>
      <c r="I42" s="60">
        <f>SUM('Quarterly Data 2001-2021'!AE42:AH42)</f>
        <v>0</v>
      </c>
      <c r="J42" s="60">
        <f>SUM('Quarterly Data 2001-2021'!AI42:AL42)</f>
        <v>0</v>
      </c>
      <c r="K42" s="60">
        <f>SUM('Quarterly Data 2001-2021'!AM42:AP42)</f>
        <v>0</v>
      </c>
      <c r="L42" s="60">
        <f>SUM('Quarterly Data 2001-2021'!AQ42:AT42)</f>
        <v>0</v>
      </c>
      <c r="M42" s="60">
        <f>SUM('Quarterly Data 2001-2021'!AU42:AX42)</f>
        <v>0</v>
      </c>
      <c r="N42" s="60">
        <f>SUM('Quarterly Data 2001-2021'!AY42:BB42)</f>
        <v>0</v>
      </c>
      <c r="O42" s="60">
        <f>SUM('Quarterly Data 2001-2021'!BC42:BF42)</f>
        <v>0</v>
      </c>
      <c r="P42" s="60">
        <f>SUM('Quarterly Data 2001-2021'!BG42:BJ42)</f>
        <v>0</v>
      </c>
      <c r="Q42" s="60">
        <f>SUM('Quarterly Data 2001-2021'!BK42:BN42)</f>
        <v>0</v>
      </c>
      <c r="R42" s="60">
        <f>SUM('Quarterly Data 2001-2021'!BO42:BR42)</f>
        <v>0</v>
      </c>
      <c r="S42" s="61">
        <f>SUM('Quarterly Data 2001-2021'!BS42:BV42)</f>
        <v>-0.6552</v>
      </c>
      <c r="T42" s="60">
        <f>SUM('Quarterly Data 2001-2021'!BW42:BZ42)</f>
        <v>-8.2419469999999997</v>
      </c>
      <c r="U42" s="60">
        <f>SUM('Quarterly Data 2001-2021'!CA42:CD42)</f>
        <v>-5.8282509999999998</v>
      </c>
      <c r="V42" s="87" t="s">
        <v>213</v>
      </c>
    </row>
    <row r="43" spans="1:24" s="425" customFormat="1" x14ac:dyDescent="0.2">
      <c r="A43" s="64" t="s">
        <v>203</v>
      </c>
      <c r="B43" s="83">
        <f t="shared" ref="B43:T43" si="11">SUM(B39,B41,B42)</f>
        <v>9.3927000000000191</v>
      </c>
      <c r="C43" s="83">
        <f t="shared" si="11"/>
        <v>26.876000000000026</v>
      </c>
      <c r="D43" s="83">
        <f t="shared" si="11"/>
        <v>58.875</v>
      </c>
      <c r="E43" s="83">
        <f t="shared" si="11"/>
        <v>101.13799999999998</v>
      </c>
      <c r="F43" s="83">
        <f t="shared" si="11"/>
        <v>146.72</v>
      </c>
      <c r="G43" s="83">
        <f t="shared" si="11"/>
        <v>243.86699999999996</v>
      </c>
      <c r="H43" s="83">
        <f t="shared" si="11"/>
        <v>306.40206095900004</v>
      </c>
      <c r="I43" s="83">
        <f t="shared" si="11"/>
        <v>239.49661147649999</v>
      </c>
      <c r="J43" s="83">
        <f t="shared" si="11"/>
        <v>280.00051956166703</v>
      </c>
      <c r="K43" s="83">
        <f t="shared" si="11"/>
        <v>331.20323180089304</v>
      </c>
      <c r="L43" s="83">
        <f t="shared" si="11"/>
        <v>339.67221207999989</v>
      </c>
      <c r="M43" s="83">
        <f t="shared" si="11"/>
        <v>199.964145060264</v>
      </c>
      <c r="N43" s="83">
        <f t="shared" si="11"/>
        <v>225.31356699999992</v>
      </c>
      <c r="O43" s="83">
        <f t="shared" si="11"/>
        <v>295.7126457</v>
      </c>
      <c r="P43" s="83">
        <f t="shared" si="11"/>
        <v>485.495338</v>
      </c>
      <c r="Q43" s="83">
        <f t="shared" si="11"/>
        <v>464.89784435000053</v>
      </c>
      <c r="R43" s="83">
        <f t="shared" si="11"/>
        <v>441.0653917300005</v>
      </c>
      <c r="S43" s="83">
        <f t="shared" si="11"/>
        <v>417.88125013270536</v>
      </c>
      <c r="T43" s="83">
        <f t="shared" si="11"/>
        <v>520.01528752355171</v>
      </c>
      <c r="U43" s="83">
        <f>SUM(U39,U41,U42)</f>
        <v>1576.4875304581403</v>
      </c>
      <c r="V43" s="480">
        <f>+((U43/P43)^(1/5))-1</f>
        <v>0.26561348983589084</v>
      </c>
    </row>
    <row r="44" spans="1:24" s="426" customFormat="1" x14ac:dyDescent="0.2">
      <c r="A44" s="317" t="s">
        <v>151</v>
      </c>
      <c r="B44" s="323">
        <f t="shared" ref="B44:R44" si="12">+B31+B37+B41+B42</f>
        <v>9.3927000000000191</v>
      </c>
      <c r="C44" s="319">
        <f t="shared" si="12"/>
        <v>26.876000000000026</v>
      </c>
      <c r="D44" s="319">
        <f t="shared" si="12"/>
        <v>58.875</v>
      </c>
      <c r="E44" s="319">
        <f t="shared" si="12"/>
        <v>101.13799999999998</v>
      </c>
      <c r="F44" s="319">
        <f t="shared" si="12"/>
        <v>146.72</v>
      </c>
      <c r="G44" s="319">
        <f t="shared" si="12"/>
        <v>243.86699999999996</v>
      </c>
      <c r="H44" s="319">
        <f t="shared" si="12"/>
        <v>306.40206095900004</v>
      </c>
      <c r="I44" s="319">
        <f t="shared" si="12"/>
        <v>239.49661147649999</v>
      </c>
      <c r="J44" s="319">
        <f t="shared" si="12"/>
        <v>280.00051956166703</v>
      </c>
      <c r="K44" s="319">
        <f t="shared" si="12"/>
        <v>331.20323180089304</v>
      </c>
      <c r="L44" s="319">
        <f t="shared" si="12"/>
        <v>339.67221207999989</v>
      </c>
      <c r="M44" s="319">
        <f t="shared" si="12"/>
        <v>199.964145060264</v>
      </c>
      <c r="N44" s="319">
        <f t="shared" si="12"/>
        <v>225.31356699999992</v>
      </c>
      <c r="O44" s="324">
        <f>+O31+O37+O41+O42</f>
        <v>295.7126457</v>
      </c>
      <c r="P44" s="324">
        <f>+P31+P37+P41+P42</f>
        <v>485.495338</v>
      </c>
      <c r="Q44" s="324">
        <f>+Q31+Q37+Q41+Q42</f>
        <v>464.89784435000053</v>
      </c>
      <c r="R44" s="324">
        <f t="shared" si="12"/>
        <v>441.0653917300005</v>
      </c>
      <c r="S44" s="324">
        <f>+S31+(S37+35)+S41+S42</f>
        <v>452.88125013270536</v>
      </c>
      <c r="T44" s="324">
        <f>+T31+(T37+8.3)+T41+T42</f>
        <v>528.31528752355166</v>
      </c>
      <c r="U44" s="321">
        <f>+(U31-63)+(U37+16+13)+U41+U42</f>
        <v>1542.4875304581403</v>
      </c>
      <c r="V44" s="364">
        <f>+((U44/P44)^(1/5))-1</f>
        <v>0.26010669671439457</v>
      </c>
    </row>
    <row r="45" spans="1:24" s="425" customFormat="1" x14ac:dyDescent="0.2">
      <c r="A45" s="64"/>
      <c r="B45" s="74"/>
      <c r="C45" s="28"/>
      <c r="D45" s="28"/>
      <c r="E45" s="28"/>
      <c r="F45" s="28"/>
      <c r="G45" s="28"/>
      <c r="H45" s="28"/>
      <c r="I45" s="28"/>
      <c r="J45" s="28"/>
      <c r="K45" s="28"/>
      <c r="L45" s="28"/>
      <c r="M45" s="28"/>
      <c r="N45" s="28"/>
      <c r="O45" s="28"/>
      <c r="P45" s="28"/>
      <c r="Q45" s="28"/>
      <c r="R45" s="28"/>
      <c r="S45" s="83"/>
      <c r="T45" s="29"/>
      <c r="U45" s="29"/>
      <c r="V45" s="75"/>
    </row>
    <row r="46" spans="1:24" x14ac:dyDescent="0.2">
      <c r="A46" s="12" t="s">
        <v>152</v>
      </c>
      <c r="B46" s="62">
        <f>SUM('Quarterly Data 2001-2021'!C46:F46)</f>
        <v>-2.6299560000000017</v>
      </c>
      <c r="C46" s="60">
        <f>SUM('Quarterly Data 2001-2021'!G46:J46)</f>
        <v>-7.5252800000000022</v>
      </c>
      <c r="D46" s="60">
        <f>SUM('Quarterly Data 2001-2021'!K46:N46)</f>
        <v>-16.484999999999999</v>
      </c>
      <c r="E46" s="60">
        <f>SUM('Quarterly Data 2001-2021'!O46:R46)</f>
        <v>-28.318639999999998</v>
      </c>
      <c r="F46" s="60">
        <f>SUM('Quarterly Data 2001-2021'!S46:V46)</f>
        <v>-40.76</v>
      </c>
      <c r="G46" s="60">
        <f>SUM('Quarterly Data 2001-2021'!W46:Z46)</f>
        <v>-55.8</v>
      </c>
      <c r="H46" s="60">
        <f>SUM('Quarterly Data 2001-2021'!AA46:AD46)</f>
        <v>-74.400000000000006</v>
      </c>
      <c r="I46" s="60">
        <f>SUM('Quarterly Data 2001-2021'!AE46:AH46)</f>
        <v>-54</v>
      </c>
      <c r="J46" s="60">
        <f>SUM('Quarterly Data 2001-2021'!AI46:AL46)</f>
        <v>-51.8</v>
      </c>
      <c r="K46" s="60">
        <f>SUM('Quarterly Data 2001-2021'!AM46:AP46)</f>
        <v>-60</v>
      </c>
      <c r="L46" s="60">
        <f>SUM('Quarterly Data 2001-2021'!AQ46:AT46)</f>
        <v>-50</v>
      </c>
      <c r="M46" s="60">
        <v>-41</v>
      </c>
      <c r="N46" s="60">
        <f>SUM('Quarterly Data 2001-2021'!AY46:BB46)</f>
        <v>-33</v>
      </c>
      <c r="O46" s="60">
        <f>SUM('Quarterly Data 2001-2021'!BC46:BF46)</f>
        <v>-46.129999999999995</v>
      </c>
      <c r="P46" s="60">
        <v>-69.7</v>
      </c>
      <c r="Q46" s="60">
        <v>-66</v>
      </c>
      <c r="R46" s="60">
        <v>-63</v>
      </c>
      <c r="S46" s="61">
        <v>-68.796785</v>
      </c>
      <c r="T46" s="61">
        <v>-73.082880309999993</v>
      </c>
      <c r="U46" s="61">
        <v>-241.88447693999998</v>
      </c>
      <c r="V46" s="87">
        <f t="shared" ref="V46:V49" si="13">+((U46/P46)^(1/5))-1</f>
        <v>0.28255218241695235</v>
      </c>
    </row>
    <row r="47" spans="1:24" s="425" customFormat="1" x14ac:dyDescent="0.2">
      <c r="A47" s="64" t="s">
        <v>156</v>
      </c>
      <c r="B47" s="84">
        <f t="shared" ref="B47:U47" si="14">+B43+B46</f>
        <v>6.7627440000000174</v>
      </c>
      <c r="C47" s="66">
        <f t="shared" si="14"/>
        <v>19.350720000000024</v>
      </c>
      <c r="D47" s="66">
        <f t="shared" si="14"/>
        <v>42.39</v>
      </c>
      <c r="E47" s="66">
        <f t="shared" si="14"/>
        <v>72.819359999999975</v>
      </c>
      <c r="F47" s="66">
        <f t="shared" si="14"/>
        <v>105.96000000000001</v>
      </c>
      <c r="G47" s="66">
        <f t="shared" si="14"/>
        <v>188.06699999999995</v>
      </c>
      <c r="H47" s="66">
        <f t="shared" si="14"/>
        <v>232.00206095900003</v>
      </c>
      <c r="I47" s="66">
        <f t="shared" si="14"/>
        <v>185.49661147649999</v>
      </c>
      <c r="J47" s="66">
        <f t="shared" si="14"/>
        <v>228.20051956166702</v>
      </c>
      <c r="K47" s="66">
        <f t="shared" si="14"/>
        <v>271.20323180089304</v>
      </c>
      <c r="L47" s="66">
        <f t="shared" si="14"/>
        <v>289.67221207999989</v>
      </c>
      <c r="M47" s="66">
        <f t="shared" si="14"/>
        <v>158.964145060264</v>
      </c>
      <c r="N47" s="66">
        <f t="shared" si="14"/>
        <v>192.31356699999992</v>
      </c>
      <c r="O47" s="83">
        <f t="shared" si="14"/>
        <v>249.5826457</v>
      </c>
      <c r="P47" s="83">
        <f t="shared" si="14"/>
        <v>415.79533800000002</v>
      </c>
      <c r="Q47" s="83">
        <f t="shared" si="14"/>
        <v>398.89784435000053</v>
      </c>
      <c r="R47" s="83">
        <f t="shared" si="14"/>
        <v>378.0653917300005</v>
      </c>
      <c r="S47" s="83">
        <f t="shared" si="14"/>
        <v>349.08446513270536</v>
      </c>
      <c r="T47" s="83">
        <f t="shared" si="14"/>
        <v>446.9324072135517</v>
      </c>
      <c r="U47" s="83">
        <f t="shared" si="14"/>
        <v>1334.6030535181403</v>
      </c>
      <c r="V47" s="73">
        <f t="shared" si="13"/>
        <v>0.26268348345653481</v>
      </c>
    </row>
    <row r="48" spans="1:24" x14ac:dyDescent="0.2">
      <c r="A48" s="10"/>
      <c r="B48" s="74"/>
      <c r="C48" s="28"/>
      <c r="D48" s="28"/>
      <c r="E48" s="28"/>
      <c r="F48" s="28"/>
      <c r="G48" s="28"/>
      <c r="H48" s="28"/>
      <c r="I48" s="28"/>
      <c r="J48" s="28"/>
      <c r="K48" s="28"/>
      <c r="L48" s="28"/>
      <c r="M48" s="28"/>
      <c r="N48" s="28"/>
      <c r="O48" s="28"/>
      <c r="P48" s="28"/>
      <c r="Q48" s="29"/>
      <c r="R48" s="29"/>
      <c r="S48" s="29"/>
      <c r="T48" s="29"/>
      <c r="U48" s="29"/>
      <c r="V48" s="75"/>
    </row>
    <row r="49" spans="1:22" s="426" customFormat="1" x14ac:dyDescent="0.2">
      <c r="A49" s="412" t="s">
        <v>41</v>
      </c>
      <c r="B49" s="413">
        <f t="shared" ref="B49:U49" si="15">-B46/B43</f>
        <v>0.27999999999999964</v>
      </c>
      <c r="C49" s="414">
        <f t="shared" si="15"/>
        <v>0.2799999999999998</v>
      </c>
      <c r="D49" s="414">
        <f t="shared" si="15"/>
        <v>0.27999999999999997</v>
      </c>
      <c r="E49" s="414">
        <f t="shared" si="15"/>
        <v>0.28000000000000003</v>
      </c>
      <c r="F49" s="414">
        <f t="shared" si="15"/>
        <v>0.27780806979280259</v>
      </c>
      <c r="G49" s="414">
        <f t="shared" si="15"/>
        <v>0.22881324656472588</v>
      </c>
      <c r="H49" s="414">
        <f t="shared" si="15"/>
        <v>0.24281821005752158</v>
      </c>
      <c r="I49" s="414">
        <f t="shared" si="15"/>
        <v>0.22547291866506686</v>
      </c>
      <c r="J49" s="414">
        <f t="shared" si="15"/>
        <v>0.18499965671882126</v>
      </c>
      <c r="K49" s="414">
        <f t="shared" si="15"/>
        <v>0.18115765258012262</v>
      </c>
      <c r="L49" s="414">
        <f t="shared" si="15"/>
        <v>0.14720073712778117</v>
      </c>
      <c r="M49" s="414">
        <f t="shared" si="15"/>
        <v>0.20503675790299139</v>
      </c>
      <c r="N49" s="414">
        <f t="shared" si="15"/>
        <v>0.1464625518977293</v>
      </c>
      <c r="O49" s="414">
        <f t="shared" si="15"/>
        <v>0.15599603422708816</v>
      </c>
      <c r="P49" s="414">
        <f t="shared" si="15"/>
        <v>0.14356471534233353</v>
      </c>
      <c r="Q49" s="414">
        <f t="shared" si="15"/>
        <v>0.14196667246818118</v>
      </c>
      <c r="R49" s="414">
        <f t="shared" si="15"/>
        <v>0.14283596305956744</v>
      </c>
      <c r="S49" s="414">
        <f t="shared" si="15"/>
        <v>0.16463238055823851</v>
      </c>
      <c r="T49" s="414">
        <f t="shared" si="15"/>
        <v>0.14053986885277875</v>
      </c>
      <c r="U49" s="414">
        <f t="shared" si="15"/>
        <v>0.15343253420450864</v>
      </c>
      <c r="V49" s="415">
        <f t="shared" si="13"/>
        <v>1.3383780053780825E-2</v>
      </c>
    </row>
    <row r="50" spans="1:22" x14ac:dyDescent="0.2">
      <c r="A50" s="10"/>
      <c r="B50" s="74"/>
      <c r="C50" s="28"/>
      <c r="D50" s="28"/>
      <c r="E50" s="28"/>
      <c r="F50" s="28"/>
      <c r="G50" s="28"/>
      <c r="H50" s="28"/>
      <c r="I50" s="28"/>
      <c r="J50" s="28"/>
      <c r="K50" s="28"/>
      <c r="L50" s="28"/>
      <c r="M50" s="28"/>
      <c r="N50" s="28"/>
      <c r="O50" s="28"/>
      <c r="P50" s="28"/>
      <c r="Q50" s="29"/>
      <c r="R50" s="29"/>
      <c r="S50" s="29"/>
      <c r="T50" s="29"/>
      <c r="U50" s="29"/>
      <c r="V50" s="75"/>
    </row>
    <row r="51" spans="1:22" x14ac:dyDescent="0.2">
      <c r="A51" s="395" t="s">
        <v>189</v>
      </c>
      <c r="B51" s="74"/>
      <c r="C51" s="28"/>
      <c r="D51" s="28"/>
      <c r="E51" s="28"/>
      <c r="F51" s="28"/>
      <c r="G51" s="28"/>
      <c r="H51" s="28"/>
      <c r="I51" s="28"/>
      <c r="J51" s="28"/>
      <c r="K51" s="28"/>
      <c r="L51" s="28"/>
      <c r="M51" s="28"/>
      <c r="N51" s="28"/>
      <c r="O51" s="28"/>
      <c r="P51" s="99"/>
      <c r="Q51" s="110"/>
      <c r="R51" s="110"/>
      <c r="S51" s="248"/>
      <c r="T51" s="248"/>
      <c r="U51" s="248"/>
      <c r="V51" s="34"/>
    </row>
    <row r="52" spans="1:22" x14ac:dyDescent="0.2">
      <c r="A52" s="35" t="s">
        <v>40</v>
      </c>
      <c r="B52" s="151">
        <f t="shared" ref="B52:U52" si="16">+B43/B31</f>
        <v>9.8974710221285761E-2</v>
      </c>
      <c r="C52" s="148">
        <f t="shared" si="16"/>
        <v>0.21921696574225139</v>
      </c>
      <c r="D52" s="148">
        <f t="shared" si="16"/>
        <v>0.39370210375680409</v>
      </c>
      <c r="E52" s="148">
        <f t="shared" si="16"/>
        <v>0.48203187554809923</v>
      </c>
      <c r="F52" s="148">
        <f t="shared" si="16"/>
        <v>0.51688544110704804</v>
      </c>
      <c r="G52" s="148">
        <f t="shared" si="16"/>
        <v>0.53852438924748747</v>
      </c>
      <c r="H52" s="148">
        <f t="shared" si="16"/>
        <v>0.55259990411806892</v>
      </c>
      <c r="I52" s="148">
        <f t="shared" si="16"/>
        <v>0.47321326645607054</v>
      </c>
      <c r="J52" s="148">
        <f t="shared" si="16"/>
        <v>0.55022567586579518</v>
      </c>
      <c r="K52" s="148">
        <f t="shared" si="16"/>
        <v>0.5396330160330618</v>
      </c>
      <c r="L52" s="148">
        <f t="shared" si="16"/>
        <v>0.4979156816690179</v>
      </c>
      <c r="M52" s="148">
        <f t="shared" si="16"/>
        <v>0.3631446001133618</v>
      </c>
      <c r="N52" s="148">
        <f t="shared" si="16"/>
        <v>0.38897225642807293</v>
      </c>
      <c r="O52" s="148">
        <f t="shared" si="16"/>
        <v>0.43612048057819414</v>
      </c>
      <c r="P52" s="148">
        <f t="shared" si="16"/>
        <v>0.54141784588345632</v>
      </c>
      <c r="Q52" s="148">
        <f t="shared" si="16"/>
        <v>0.51166232837504755</v>
      </c>
      <c r="R52" s="148">
        <f t="shared" si="16"/>
        <v>0.45215443227968016</v>
      </c>
      <c r="S52" s="148">
        <f t="shared" si="16"/>
        <v>0.39836274061252402</v>
      </c>
      <c r="T52" s="148">
        <f t="shared" si="16"/>
        <v>0.43572457391323904</v>
      </c>
      <c r="U52" s="148">
        <f t="shared" si="16"/>
        <v>0.67119418760647465</v>
      </c>
      <c r="V52" s="42">
        <f t="shared" ref="V52:V57" si="17">+((U52/P52)^(1/5))-1</f>
        <v>4.3910159104601609E-2</v>
      </c>
    </row>
    <row r="53" spans="1:22" x14ac:dyDescent="0.2">
      <c r="A53" s="35" t="s">
        <v>125</v>
      </c>
      <c r="B53" s="151">
        <f t="shared" ref="B53:U53" si="18">+B47/B31</f>
        <v>7.1261791359325782E-2</v>
      </c>
      <c r="C53" s="148">
        <f t="shared" si="18"/>
        <v>0.15783621533442105</v>
      </c>
      <c r="D53" s="148">
        <f t="shared" si="18"/>
        <v>0.28346551470489895</v>
      </c>
      <c r="E53" s="148">
        <f t="shared" si="18"/>
        <v>0.34706295039463142</v>
      </c>
      <c r="F53" s="148">
        <f t="shared" si="18"/>
        <v>0.37329049440909767</v>
      </c>
      <c r="G53" s="148">
        <f t="shared" si="18"/>
        <v>0.41530287538948368</v>
      </c>
      <c r="H53" s="148">
        <f t="shared" si="18"/>
        <v>0.41841858452216141</v>
      </c>
      <c r="I53" s="148">
        <f t="shared" si="18"/>
        <v>0.36651649011719034</v>
      </c>
      <c r="J53" s="148">
        <f t="shared" si="18"/>
        <v>0.44843411471274158</v>
      </c>
      <c r="K53" s="148">
        <f t="shared" si="18"/>
        <v>0.44187436559378063</v>
      </c>
      <c r="L53" s="148">
        <f t="shared" si="18"/>
        <v>0.42462212629985685</v>
      </c>
      <c r="M53" s="148">
        <f t="shared" si="18"/>
        <v>0.28868660865613982</v>
      </c>
      <c r="N53" s="148">
        <f t="shared" si="18"/>
        <v>0.33200238713419944</v>
      </c>
      <c r="O53" s="148">
        <f t="shared" si="18"/>
        <v>0.36808741516278404</v>
      </c>
      <c r="P53" s="148">
        <f t="shared" si="18"/>
        <v>0.46368934695793851</v>
      </c>
      <c r="Q53" s="148">
        <f t="shared" si="18"/>
        <v>0.43902333018832018</v>
      </c>
      <c r="R53" s="148">
        <f t="shared" si="18"/>
        <v>0.38757051849336011</v>
      </c>
      <c r="S53" s="148">
        <f t="shared" si="18"/>
        <v>0.33277933429978013</v>
      </c>
      <c r="T53" s="148">
        <f t="shared" si="18"/>
        <v>0.37448789943953953</v>
      </c>
      <c r="U53" s="148">
        <f t="shared" si="18"/>
        <v>0.56821116245867676</v>
      </c>
      <c r="V53" s="42">
        <f t="shared" si="17"/>
        <v>4.1493415406612444E-2</v>
      </c>
    </row>
    <row r="54" spans="1:22" x14ac:dyDescent="0.2">
      <c r="A54" s="10" t="s">
        <v>96</v>
      </c>
      <c r="B54" s="156">
        <f t="shared" ref="B54:U54" si="19">-B37/B31</f>
        <v>0.90102528977871421</v>
      </c>
      <c r="C54" s="152">
        <f t="shared" si="19"/>
        <v>0.7799673735725936</v>
      </c>
      <c r="D54" s="152">
        <f t="shared" si="19"/>
        <v>0.60629789624319586</v>
      </c>
      <c r="E54" s="152">
        <f t="shared" si="19"/>
        <v>0.51796812445190077</v>
      </c>
      <c r="F54" s="152">
        <f t="shared" si="19"/>
        <v>0.483466852677785</v>
      </c>
      <c r="G54" s="152">
        <f t="shared" si="19"/>
        <v>0.46147561075251248</v>
      </c>
      <c r="H54" s="152">
        <f t="shared" si="19"/>
        <v>0.44478500295969908</v>
      </c>
      <c r="I54" s="152">
        <f t="shared" si="19"/>
        <v>0.52678673354392946</v>
      </c>
      <c r="J54" s="152">
        <f t="shared" si="19"/>
        <v>0.44977432413420487</v>
      </c>
      <c r="K54" s="152">
        <f t="shared" si="19"/>
        <v>0.46036698396693826</v>
      </c>
      <c r="L54" s="152">
        <f t="shared" si="19"/>
        <v>0.49328909168668278</v>
      </c>
      <c r="M54" s="152">
        <f t="shared" si="19"/>
        <v>0.63503935131451084</v>
      </c>
      <c r="N54" s="152">
        <f t="shared" si="19"/>
        <v>0.60930138389635513</v>
      </c>
      <c r="O54" s="152">
        <f t="shared" si="19"/>
        <v>0.56446944411649824</v>
      </c>
      <c r="P54" s="152">
        <f t="shared" si="19"/>
        <v>0.45834165076596584</v>
      </c>
      <c r="Q54" s="152">
        <f t="shared" si="19"/>
        <v>0.48778187873269024</v>
      </c>
      <c r="R54" s="152">
        <f t="shared" si="19"/>
        <v>0.54824566814165054</v>
      </c>
      <c r="S54" s="152">
        <f t="shared" si="19"/>
        <v>0.59990670781992328</v>
      </c>
      <c r="T54" s="152">
        <f t="shared" si="19"/>
        <v>0.55764578150813293</v>
      </c>
      <c r="U54" s="152">
        <f t="shared" si="19"/>
        <v>0.32467614067290929</v>
      </c>
      <c r="V54" s="42">
        <f t="shared" si="17"/>
        <v>-6.6633498339983555E-2</v>
      </c>
    </row>
    <row r="55" spans="1:22" ht="15" x14ac:dyDescent="0.2">
      <c r="A55" s="43" t="s">
        <v>216</v>
      </c>
      <c r="B55" s="176">
        <f t="shared" ref="B55:U55" si="20">+B47*1000000/B147</f>
        <v>5.9070656656389699E-2</v>
      </c>
      <c r="C55" s="174">
        <f t="shared" si="20"/>
        <v>0.14536912881757261</v>
      </c>
      <c r="D55" s="174">
        <f t="shared" si="20"/>
        <v>0.31844796320637658</v>
      </c>
      <c r="E55" s="174">
        <f t="shared" si="20"/>
        <v>0.54704356862448411</v>
      </c>
      <c r="F55" s="174">
        <f t="shared" si="20"/>
        <v>0.77634580710620193</v>
      </c>
      <c r="G55" s="174">
        <f t="shared" si="20"/>
        <v>1.3694693966002796</v>
      </c>
      <c r="H55" s="174">
        <f t="shared" si="20"/>
        <v>1.6931367338733809</v>
      </c>
      <c r="I55" s="174">
        <f t="shared" si="20"/>
        <v>1.3564155714708785</v>
      </c>
      <c r="J55" s="174">
        <f t="shared" si="20"/>
        <v>1.65496951738506</v>
      </c>
      <c r="K55" s="174">
        <f t="shared" si="20"/>
        <v>1.9554197146346461</v>
      </c>
      <c r="L55" s="174">
        <f t="shared" si="20"/>
        <v>2.0498294475243384</v>
      </c>
      <c r="M55" s="174">
        <f t="shared" si="20"/>
        <v>1.1090996879001187</v>
      </c>
      <c r="N55" s="174">
        <f t="shared" si="20"/>
        <v>1.3320998275700062</v>
      </c>
      <c r="O55" s="174">
        <f t="shared" si="20"/>
        <v>1.728785984721692</v>
      </c>
      <c r="P55" s="175">
        <f t="shared" si="20"/>
        <v>2.8506702990301473</v>
      </c>
      <c r="Q55" s="175">
        <f t="shared" si="20"/>
        <v>2.6897904330636035</v>
      </c>
      <c r="R55" s="175">
        <f t="shared" si="20"/>
        <v>2.5297332482236459</v>
      </c>
      <c r="S55" s="175">
        <f t="shared" si="20"/>
        <v>2.3205442080583696</v>
      </c>
      <c r="T55" s="175">
        <f t="shared" si="20"/>
        <v>2.9381295709180173</v>
      </c>
      <c r="U55" s="175">
        <f t="shared" si="20"/>
        <v>8.6578190739384855</v>
      </c>
      <c r="V55" s="42">
        <f t="shared" si="17"/>
        <v>0.24879831198712976</v>
      </c>
    </row>
    <row r="56" spans="1:22" ht="15" x14ac:dyDescent="0.2">
      <c r="A56" s="10" t="s">
        <v>217</v>
      </c>
      <c r="B56" s="178">
        <f t="shared" ref="B56:U56" si="21">+B47*1000000/B148</f>
        <v>5.8942267423947765E-2</v>
      </c>
      <c r="C56" s="177">
        <f t="shared" si="21"/>
        <v>0.14493019343079486</v>
      </c>
      <c r="D56" s="177">
        <f t="shared" si="21"/>
        <v>0.3163152637150724</v>
      </c>
      <c r="E56" s="177">
        <f t="shared" si="21"/>
        <v>0.53724804333789766</v>
      </c>
      <c r="F56" s="177">
        <f t="shared" si="21"/>
        <v>0.7722752880070809</v>
      </c>
      <c r="G56" s="177">
        <f t="shared" si="21"/>
        <v>1.3609744781916222</v>
      </c>
      <c r="H56" s="177">
        <f t="shared" si="21"/>
        <v>1.6805654542484609</v>
      </c>
      <c r="I56" s="177">
        <f t="shared" si="21"/>
        <v>1.3499989918598305</v>
      </c>
      <c r="J56" s="177">
        <f t="shared" si="21"/>
        <v>1.6503382358464438</v>
      </c>
      <c r="K56" s="177">
        <f t="shared" si="21"/>
        <v>1.9249825208125999</v>
      </c>
      <c r="L56" s="177">
        <f t="shared" si="21"/>
        <v>2.0347227958438499</v>
      </c>
      <c r="M56" s="177">
        <f t="shared" si="21"/>
        <v>1.1090996879001187</v>
      </c>
      <c r="N56" s="174">
        <f t="shared" si="21"/>
        <v>1.3320998275700062</v>
      </c>
      <c r="O56" s="174">
        <f t="shared" si="21"/>
        <v>1.713032138257518</v>
      </c>
      <c r="P56" s="175">
        <f t="shared" si="21"/>
        <v>2.8245737275638931</v>
      </c>
      <c r="Q56" s="175">
        <f t="shared" si="21"/>
        <v>2.6878334069909831</v>
      </c>
      <c r="R56" s="175">
        <f t="shared" si="21"/>
        <v>2.5297332482236459</v>
      </c>
      <c r="S56" s="175">
        <f t="shared" si="21"/>
        <v>2.3144629046882748</v>
      </c>
      <c r="T56" s="175">
        <f t="shared" si="21"/>
        <v>2.9381295709180173</v>
      </c>
      <c r="U56" s="175">
        <f t="shared" si="21"/>
        <v>8.5781836779274983</v>
      </c>
      <c r="V56" s="42">
        <f t="shared" si="17"/>
        <v>0.2487873340178175</v>
      </c>
    </row>
    <row r="57" spans="1:22" x14ac:dyDescent="0.2">
      <c r="A57" s="43" t="s">
        <v>209</v>
      </c>
      <c r="B57" s="209">
        <f>B47/(('Quarterly Data 2001-2021'!B60+B60)/2)</f>
        <v>2.5352367385192191E-2</v>
      </c>
      <c r="C57" s="208">
        <f>C47/((B60+C60)/2)</f>
        <v>0.10454197730956254</v>
      </c>
      <c r="D57" s="208">
        <f>D47/((C60+D60)/2)</f>
        <v>0.20171306209850107</v>
      </c>
      <c r="E57" s="208">
        <f>E47/((D60+E60)/2)</f>
        <v>0.29404142943670492</v>
      </c>
      <c r="F57" s="208">
        <f t="shared" ref="F57:Q57" si="22">+F47/((E60+F60)/2)</f>
        <v>0.34142097631706136</v>
      </c>
      <c r="G57" s="208">
        <f t="shared" si="22"/>
        <v>0.44644985163204737</v>
      </c>
      <c r="H57" s="208">
        <f t="shared" si="22"/>
        <v>0.43699766614993418</v>
      </c>
      <c r="I57" s="208">
        <f t="shared" si="22"/>
        <v>0.30890359946128226</v>
      </c>
      <c r="J57" s="208">
        <f t="shared" si="22"/>
        <v>0.34549662310623319</v>
      </c>
      <c r="K57" s="208">
        <f t="shared" si="22"/>
        <v>0.36016365445005716</v>
      </c>
      <c r="L57" s="208">
        <f t="shared" si="22"/>
        <v>0.34314033983273695</v>
      </c>
      <c r="M57" s="208">
        <f t="shared" si="22"/>
        <v>0.18664773748387187</v>
      </c>
      <c r="N57" s="208">
        <f t="shared" si="22"/>
        <v>0.23713140197287289</v>
      </c>
      <c r="O57" s="208">
        <f t="shared" si="22"/>
        <v>0.31023324512119327</v>
      </c>
      <c r="P57" s="208">
        <f t="shared" si="22"/>
        <v>0.4284341452859351</v>
      </c>
      <c r="Q57" s="208">
        <f t="shared" si="22"/>
        <v>0.32777144153656573</v>
      </c>
      <c r="R57" s="208">
        <f>+R47/AVERAGE('Quarterly Data 2001-2021'!BN60:BR60)</f>
        <v>0.297783074771582</v>
      </c>
      <c r="S57" s="208">
        <f>+S47/AVERAGE('Quarterly Data 2001-2021'!BR60:BV60)</f>
        <v>0.24406330559355463</v>
      </c>
      <c r="T57" s="208">
        <f>+T47/AVERAGE('Quarterly Data 2001-2021'!BV60:BZ60)</f>
        <v>0.26782089135176185</v>
      </c>
      <c r="U57" s="208">
        <f>+U47/AVERAGE('Quarterly Data 2001-2021'!BZ60:CD60)</f>
        <v>0.56823731811697675</v>
      </c>
      <c r="V57" s="42">
        <f t="shared" si="17"/>
        <v>5.8105898034028547E-2</v>
      </c>
    </row>
    <row r="58" spans="1:22" x14ac:dyDescent="0.2">
      <c r="A58" s="104"/>
      <c r="B58" s="431"/>
      <c r="C58" s="432"/>
      <c r="D58" s="432"/>
      <c r="E58" s="432"/>
      <c r="F58" s="432"/>
      <c r="G58" s="432"/>
      <c r="H58" s="432"/>
      <c r="I58" s="432"/>
      <c r="J58" s="432"/>
      <c r="K58" s="432"/>
      <c r="L58" s="432"/>
      <c r="M58" s="432"/>
      <c r="N58" s="432"/>
      <c r="O58" s="432"/>
      <c r="P58" s="432"/>
      <c r="Q58" s="432"/>
      <c r="R58" s="432"/>
      <c r="S58" s="432"/>
      <c r="T58" s="432"/>
      <c r="U58" s="432"/>
      <c r="V58" s="109"/>
    </row>
    <row r="59" spans="1:22" x14ac:dyDescent="0.2">
      <c r="A59" s="395" t="s">
        <v>126</v>
      </c>
      <c r="B59" s="433"/>
      <c r="C59" s="434"/>
      <c r="D59" s="434"/>
      <c r="E59" s="434"/>
      <c r="F59" s="434"/>
      <c r="G59" s="434"/>
      <c r="H59" s="434"/>
      <c r="I59" s="434"/>
      <c r="J59" s="434"/>
      <c r="K59" s="434"/>
      <c r="L59" s="434"/>
      <c r="M59" s="434"/>
      <c r="N59" s="435"/>
      <c r="O59" s="435"/>
      <c r="P59" s="435"/>
      <c r="Q59" s="435"/>
      <c r="R59" s="435"/>
      <c r="S59" s="435"/>
      <c r="T59" s="435"/>
      <c r="U59" s="435"/>
      <c r="V59" s="100"/>
    </row>
    <row r="60" spans="1:22" x14ac:dyDescent="0.2">
      <c r="A60" s="35" t="s">
        <v>97</v>
      </c>
      <c r="B60" s="76">
        <f>'Quarterly Data 2001-2021'!F60</f>
        <v>178.2</v>
      </c>
      <c r="C60" s="37">
        <f>'Quarterly Data 2001-2021'!J60</f>
        <v>192</v>
      </c>
      <c r="D60" s="37">
        <f>'Quarterly Data 2001-2021'!N60</f>
        <v>228.3</v>
      </c>
      <c r="E60" s="37">
        <f>'Quarterly Data 2001-2021'!R60</f>
        <v>267</v>
      </c>
      <c r="F60" s="37">
        <f>'Quarterly Data 2001-2021'!V60</f>
        <v>353.7</v>
      </c>
      <c r="G60" s="37">
        <f>'Quarterly Data 2001-2021'!Z60</f>
        <v>488.8</v>
      </c>
      <c r="H60" s="37">
        <f>'Quarterly Data 2001-2021'!AD60</f>
        <v>573</v>
      </c>
      <c r="I60" s="37">
        <f>'Quarterly Data 2001-2021'!AH60</f>
        <v>628</v>
      </c>
      <c r="J60" s="37">
        <f>'Quarterly Data 2001-2021'!AL60</f>
        <v>693</v>
      </c>
      <c r="K60" s="37">
        <f>'Quarterly Data 2001-2021'!AP60</f>
        <v>813</v>
      </c>
      <c r="L60" s="37">
        <f>'Quarterly Data 2001-2021'!AT60</f>
        <v>875.36</v>
      </c>
      <c r="M60" s="37">
        <f>+'Quarterly Data 2001-2021'!AX60</f>
        <v>828</v>
      </c>
      <c r="N60" s="37">
        <f>+'Quarterly Data 2001-2021'!BB60</f>
        <v>794</v>
      </c>
      <c r="O60" s="37">
        <f>+'Quarterly Data 2001-2021'!BF60</f>
        <v>815</v>
      </c>
      <c r="P60" s="37">
        <f>+'Quarterly Data 2001-2021'!BJ60</f>
        <v>1126</v>
      </c>
      <c r="Q60" s="37">
        <f>+'Quarterly Data 2001-2021'!BN60</f>
        <v>1308</v>
      </c>
      <c r="R60" s="37">
        <f>+'Quarterly Data 2001-2021'!BR60</f>
        <v>1427</v>
      </c>
      <c r="S60" s="37">
        <f>+'Quarterly Data 2001-2021'!BV60</f>
        <v>1614.3034072737</v>
      </c>
      <c r="T60" s="37">
        <f>+'Quarterly Data 2001-2021'!BZ60</f>
        <v>1945.3174540872683</v>
      </c>
      <c r="U60" s="37">
        <f>+'Quarterly Data 2001-2021'!CD60</f>
        <v>3172.1498589487301</v>
      </c>
      <c r="V60" s="42">
        <f>+((U60/P60)^(1/5))-1</f>
        <v>0.23016413485070975</v>
      </c>
    </row>
    <row r="61" spans="1:22" ht="15" x14ac:dyDescent="0.2">
      <c r="A61" s="416" t="s">
        <v>218</v>
      </c>
      <c r="B61" s="76" t="str">
        <f>'Quarterly Data 2001-2021'!F61</f>
        <v>N.A.</v>
      </c>
      <c r="C61" s="37" t="str">
        <f>'Quarterly Data 2001-2021'!J61</f>
        <v>N.A.</v>
      </c>
      <c r="D61" s="37" t="str">
        <f>'Quarterly Data 2001-2021'!N61</f>
        <v>N.A.</v>
      </c>
      <c r="E61" s="37" t="str">
        <f>'Quarterly Data 2001-2021'!R61</f>
        <v>N.A.</v>
      </c>
      <c r="F61" s="37" t="str">
        <f>'Quarterly Data 2001-2021'!V61</f>
        <v>N.A.</v>
      </c>
      <c r="G61" s="37" t="str">
        <f>'Quarterly Data 2001-2021'!Z61</f>
        <v>N.A.</v>
      </c>
      <c r="H61" s="93" t="str">
        <f>'Quarterly Data 2001-2021'!AD61</f>
        <v>-</v>
      </c>
      <c r="I61" s="93" t="str">
        <f>'Quarterly Data 2001-2021'!AH61</f>
        <v>-</v>
      </c>
      <c r="J61" s="93" t="str">
        <f>'Quarterly Data 2001-2021'!AL61</f>
        <v>-</v>
      </c>
      <c r="K61" s="93" t="str">
        <f>'Quarterly Data 2001-2021'!AP61</f>
        <v>-</v>
      </c>
      <c r="L61" s="93" t="str">
        <f>'Quarterly Data 2001-2021'!AT61</f>
        <v>-</v>
      </c>
      <c r="M61" s="93" t="str">
        <f>+'Quarterly Data 2001-2021'!AX61</f>
        <v>-</v>
      </c>
      <c r="N61" s="93" t="str">
        <f>+'Quarterly Data 2001-2021'!BB61</f>
        <v>-</v>
      </c>
      <c r="O61" s="93" t="str">
        <f>+'Quarterly Data 2001-2021'!BF61</f>
        <v>-</v>
      </c>
      <c r="P61" s="93" t="str">
        <f>+'Quarterly Data 2001-2021'!BJ61</f>
        <v>-</v>
      </c>
      <c r="Q61" s="93" t="str">
        <f>+'Quarterly Data 2001-2021'!BN61</f>
        <v>-</v>
      </c>
      <c r="R61" s="93" t="str">
        <f>+'Quarterly Data 2001-2021'!BR61</f>
        <v>-</v>
      </c>
      <c r="S61" s="93" t="str">
        <f>+'Quarterly Data 2001-2021'!BV61</f>
        <v>-</v>
      </c>
      <c r="T61" s="93">
        <f>+'Quarterly Data 2001-2021'!BZ61</f>
        <v>3.4516690427899892</v>
      </c>
      <c r="U61" s="93">
        <f>'Quarterly Data 2001-2021'!CD61</f>
        <v>4.8517466646414364</v>
      </c>
      <c r="V61" s="88" t="s">
        <v>35</v>
      </c>
    </row>
    <row r="62" spans="1:22" x14ac:dyDescent="0.2">
      <c r="A62" s="416" t="s">
        <v>207</v>
      </c>
      <c r="B62" s="76" t="str">
        <f>'Quarterly Data 2001-2021'!F62</f>
        <v>N.A.</v>
      </c>
      <c r="C62" s="37" t="str">
        <f>'Quarterly Data 2001-2021'!J62</f>
        <v>N.A.</v>
      </c>
      <c r="D62" s="37" t="str">
        <f>'Quarterly Data 2001-2021'!N62</f>
        <v>N.A.</v>
      </c>
      <c r="E62" s="37" t="str">
        <f>'Quarterly Data 2001-2021'!R62</f>
        <v>N.A.</v>
      </c>
      <c r="F62" s="37" t="str">
        <f>'Quarterly Data 2001-2021'!V62</f>
        <v>N.A.</v>
      </c>
      <c r="G62" s="37" t="str">
        <f>'Quarterly Data 2001-2021'!Z62</f>
        <v>N.A.</v>
      </c>
      <c r="H62" s="93" t="str">
        <f>'Quarterly Data 2001-2021'!AD62</f>
        <v>-</v>
      </c>
      <c r="I62" s="93" t="str">
        <f>'Quarterly Data 2001-2021'!AH62</f>
        <v>-</v>
      </c>
      <c r="J62" s="93" t="str">
        <f>'Quarterly Data 2001-2021'!AL62</f>
        <v>-</v>
      </c>
      <c r="K62" s="93" t="str">
        <f>'Quarterly Data 2001-2021'!AP62</f>
        <v>-</v>
      </c>
      <c r="L62" s="93" t="str">
        <f>'Quarterly Data 2001-2021'!AT62</f>
        <v>-</v>
      </c>
      <c r="M62" s="93" t="str">
        <f>+'Quarterly Data 2001-2021'!AX62</f>
        <v>-</v>
      </c>
      <c r="N62" s="93" t="str">
        <f>+'Quarterly Data 2001-2021'!BB62</f>
        <v>-</v>
      </c>
      <c r="O62" s="93" t="str">
        <f>+'Quarterly Data 2001-2021'!BF62</f>
        <v>-</v>
      </c>
      <c r="P62" s="93" t="str">
        <f>+'Quarterly Data 2001-2021'!BJ62</f>
        <v>-</v>
      </c>
      <c r="Q62" s="93" t="str">
        <f>+'Quarterly Data 2001-2021'!BN62</f>
        <v>-</v>
      </c>
      <c r="R62" s="93" t="str">
        <f>+'Quarterly Data 2001-2021'!BR62</f>
        <v>-</v>
      </c>
      <c r="S62" s="93">
        <f>+'Quarterly Data 2001-2021'!BV62</f>
        <v>0.17599999999999999</v>
      </c>
      <c r="T62" s="93">
        <f>+'Quarterly Data 2001-2021'!BZ62</f>
        <v>0.16858532715591101</v>
      </c>
      <c r="U62" s="93">
        <f>'Quarterly Data 2001-2021'!CD62</f>
        <v>0.24379043893188301</v>
      </c>
      <c r="V62" s="88" t="s">
        <v>35</v>
      </c>
    </row>
    <row r="63" spans="1:22" x14ac:dyDescent="0.2">
      <c r="A63" s="416" t="s">
        <v>208</v>
      </c>
      <c r="B63" s="76" t="str">
        <f>'Quarterly Data 2001-2021'!F63</f>
        <v>N.A.</v>
      </c>
      <c r="C63" s="37" t="str">
        <f>'Quarterly Data 2001-2021'!J63</f>
        <v>N.A.</v>
      </c>
      <c r="D63" s="37" t="str">
        <f>'Quarterly Data 2001-2021'!N63</f>
        <v>N.A.</v>
      </c>
      <c r="E63" s="37" t="str">
        <f>'Quarterly Data 2001-2021'!R63</f>
        <v>N.A.</v>
      </c>
      <c r="F63" s="37" t="str">
        <f>'Quarterly Data 2001-2021'!V63</f>
        <v>N.A.</v>
      </c>
      <c r="G63" s="37" t="str">
        <f>'Quarterly Data 2001-2021'!Z63</f>
        <v>N.A.</v>
      </c>
      <c r="H63" s="93" t="str">
        <f>'Quarterly Data 2001-2021'!AD63</f>
        <v>-</v>
      </c>
      <c r="I63" s="93" t="str">
        <f>'Quarterly Data 2001-2021'!AH63</f>
        <v>-</v>
      </c>
      <c r="J63" s="93" t="str">
        <f>'Quarterly Data 2001-2021'!AL63</f>
        <v>-</v>
      </c>
      <c r="K63" s="93" t="str">
        <f>'Quarterly Data 2001-2021'!AP63</f>
        <v>-</v>
      </c>
      <c r="L63" s="93" t="str">
        <f>'Quarterly Data 2001-2021'!AT63</f>
        <v>-</v>
      </c>
      <c r="M63" s="93" t="str">
        <f>+'Quarterly Data 2001-2021'!AX63</f>
        <v>-</v>
      </c>
      <c r="N63" s="93" t="str">
        <f>+'Quarterly Data 2001-2021'!BB63</f>
        <v>-</v>
      </c>
      <c r="O63" s="93" t="str">
        <f>+'Quarterly Data 2001-2021'!BF63</f>
        <v>-</v>
      </c>
      <c r="P63" s="93" t="str">
        <f>+'Quarterly Data 2001-2021'!BJ63</f>
        <v>-</v>
      </c>
      <c r="Q63" s="93" t="str">
        <f>+'Quarterly Data 2001-2021'!BN63</f>
        <v>-</v>
      </c>
      <c r="R63" s="93" t="str">
        <f>+'Quarterly Data 2001-2021'!BR63</f>
        <v>-</v>
      </c>
      <c r="S63" s="93">
        <f>+'Quarterly Data 2001-2021'!BV63</f>
        <v>2.35</v>
      </c>
      <c r="T63" s="93">
        <f>+'Quarterly Data 2001-2021'!BZ63</f>
        <v>2.2265576587614606</v>
      </c>
      <c r="U63" s="93">
        <f>'Quarterly Data 2001-2021'!CD63</f>
        <v>3.0473804866485388</v>
      </c>
      <c r="V63" s="88" t="s">
        <v>35</v>
      </c>
    </row>
    <row r="64" spans="1:22" ht="15" x14ac:dyDescent="0.2">
      <c r="A64" s="416" t="s">
        <v>219</v>
      </c>
      <c r="B64" s="76" t="str">
        <f>'Quarterly Data 2001-2021'!F64</f>
        <v>N.A.</v>
      </c>
      <c r="C64" s="37" t="str">
        <f>'Quarterly Data 2001-2021'!J64</f>
        <v>N.A.</v>
      </c>
      <c r="D64" s="37" t="str">
        <f>'Quarterly Data 2001-2021'!N64</f>
        <v>N.A.</v>
      </c>
      <c r="E64" s="37" t="str">
        <f>'Quarterly Data 2001-2021'!R64</f>
        <v>N.A.</v>
      </c>
      <c r="F64" s="37" t="str">
        <f>'Quarterly Data 2001-2021'!V64</f>
        <v>N.A.</v>
      </c>
      <c r="G64" s="37" t="str">
        <f>'Quarterly Data 2001-2021'!Z64</f>
        <v>N.A.</v>
      </c>
      <c r="H64" s="93">
        <f>'Quarterly Data 2001-2021'!AD64</f>
        <v>1.78</v>
      </c>
      <c r="I64" s="93">
        <f>'Quarterly Data 2001-2021'!AH64</f>
        <v>1.68</v>
      </c>
      <c r="J64" s="93">
        <f>'Quarterly Data 2001-2021'!AL64</f>
        <v>1.71</v>
      </c>
      <c r="K64" s="93">
        <f>'Quarterly Data 2001-2021'!AP64</f>
        <v>1.84</v>
      </c>
      <c r="L64" s="93">
        <f>'Quarterly Data 2001-2021'!AT64</f>
        <v>2.06</v>
      </c>
      <c r="M64" s="93">
        <f>+'Quarterly Data 2001-2021'!AX64</f>
        <v>2.21</v>
      </c>
      <c r="N64" s="93">
        <f>+'Quarterly Data 2001-2021'!BB64</f>
        <v>1.82</v>
      </c>
      <c r="O64" s="93">
        <f>+'Quarterly Data 2001-2021'!BF64</f>
        <v>1.72</v>
      </c>
      <c r="P64" s="93">
        <f>+'Quarterly Data 2001-2021'!BJ64</f>
        <v>1.67</v>
      </c>
      <c r="Q64" s="93">
        <f>+'Quarterly Data 2001-2021'!BN64</f>
        <v>1.66</v>
      </c>
      <c r="R64" s="93">
        <f>+'Quarterly Data 2001-2021'!BR64</f>
        <v>1.55</v>
      </c>
      <c r="S64" s="93">
        <f>+'Quarterly Data 2001-2021'!BV64</f>
        <v>1.34</v>
      </c>
      <c r="T64" s="93">
        <f>+'Quarterly Data 2001-2021'!BZ64</f>
        <v>1.3</v>
      </c>
      <c r="U64" s="93">
        <f>'Quarterly Data 2001-2021'!CD64</f>
        <v>1.75</v>
      </c>
      <c r="V64" s="88" t="s">
        <v>35</v>
      </c>
    </row>
    <row r="65" spans="1:22" x14ac:dyDescent="0.2">
      <c r="A65" s="10"/>
      <c r="B65" s="168"/>
      <c r="C65" s="165"/>
      <c r="D65" s="165"/>
      <c r="E65" s="165"/>
      <c r="F65" s="165"/>
      <c r="G65" s="165"/>
      <c r="H65" s="165"/>
      <c r="I65" s="165"/>
      <c r="J65" s="165"/>
      <c r="K65" s="165"/>
      <c r="L65" s="165"/>
      <c r="M65" s="165"/>
      <c r="N65" s="165"/>
      <c r="O65" s="165"/>
      <c r="P65" s="169"/>
      <c r="Q65" s="170"/>
      <c r="R65" s="170"/>
      <c r="S65" s="170"/>
      <c r="T65" s="170"/>
      <c r="U65" s="170"/>
      <c r="V65" s="34"/>
    </row>
    <row r="66" spans="1:22" x14ac:dyDescent="0.2">
      <c r="A66" s="237" t="s">
        <v>127</v>
      </c>
      <c r="B66" s="74"/>
      <c r="C66" s="28"/>
      <c r="D66" s="28"/>
      <c r="E66" s="28"/>
      <c r="F66" s="28"/>
      <c r="G66" s="28"/>
      <c r="H66" s="28"/>
      <c r="I66" s="28"/>
      <c r="J66" s="28"/>
      <c r="K66" s="28"/>
      <c r="L66" s="28"/>
      <c r="M66" s="28"/>
      <c r="N66" s="28"/>
      <c r="O66" s="28"/>
      <c r="P66" s="28"/>
      <c r="Q66" s="29"/>
      <c r="R66" s="29"/>
      <c r="S66" s="29"/>
      <c r="T66" s="29"/>
      <c r="U66" s="29"/>
      <c r="V66" s="75"/>
    </row>
    <row r="67" spans="1:22" x14ac:dyDescent="0.2">
      <c r="A67" s="10" t="s">
        <v>135</v>
      </c>
      <c r="B67" s="206" t="str">
        <f>+'Quarterly Data 2001-2021'!O67</f>
        <v>N.A.</v>
      </c>
      <c r="C67" s="86" t="str">
        <f>+'Quarterly Data 2001-2021'!J67</f>
        <v>N.A.</v>
      </c>
      <c r="D67" s="86" t="str">
        <f>+'Quarterly Data 2001-2021'!N67</f>
        <v>N.A.</v>
      </c>
      <c r="E67" s="86" t="str">
        <f>+'Quarterly Data 2001-2021'!R67</f>
        <v>N.A.</v>
      </c>
      <c r="F67" s="86" t="str">
        <f>+'Quarterly Data 2001-2021'!V67</f>
        <v>N.A.</v>
      </c>
      <c r="G67" s="86" t="str">
        <f>+'Quarterly Data 2001-2021'!Z67</f>
        <v>N.A.</v>
      </c>
      <c r="H67" s="86" t="s">
        <v>35</v>
      </c>
      <c r="I67" s="86" t="s">
        <v>35</v>
      </c>
      <c r="J67" s="86">
        <f t="shared" ref="J67:S67" si="23">+J68-I68</f>
        <v>27.437209302325584</v>
      </c>
      <c r="K67" s="86">
        <f t="shared" si="23"/>
        <v>34.200000000000017</v>
      </c>
      <c r="L67" s="86">
        <f t="shared" si="23"/>
        <v>26.199999999999989</v>
      </c>
      <c r="M67" s="86">
        <f t="shared" si="23"/>
        <v>20.286000000000001</v>
      </c>
      <c r="N67" s="86">
        <f t="shared" si="23"/>
        <v>33.213999999999999</v>
      </c>
      <c r="O67" s="86">
        <f t="shared" si="23"/>
        <v>54.699999999999989</v>
      </c>
      <c r="P67" s="86">
        <f t="shared" si="23"/>
        <v>96.400000000000034</v>
      </c>
      <c r="Q67" s="207">
        <f t="shared" si="23"/>
        <v>103</v>
      </c>
      <c r="R67" s="207">
        <f t="shared" si="23"/>
        <v>140.04200000000003</v>
      </c>
      <c r="S67" s="207">
        <f t="shared" si="23"/>
        <v>126.49599999999998</v>
      </c>
      <c r="T67" s="207">
        <f>+T68-S68</f>
        <v>139.28399999999999</v>
      </c>
      <c r="U67" s="207">
        <f>+U68-T68</f>
        <v>303.9079999999999</v>
      </c>
      <c r="V67" s="203" t="s">
        <v>35</v>
      </c>
    </row>
    <row r="68" spans="1:22" x14ac:dyDescent="0.2">
      <c r="A68" s="43" t="s">
        <v>33</v>
      </c>
      <c r="B68" s="92" t="str">
        <f>+'Quarterly Data 2001-2021'!O68</f>
        <v>N.A.</v>
      </c>
      <c r="C68" s="89" t="str">
        <f>+'Quarterly Data 2001-2021'!J68</f>
        <v>N.A.</v>
      </c>
      <c r="D68" s="89" t="str">
        <f>+'Quarterly Data 2001-2021'!N68</f>
        <v>N.A.</v>
      </c>
      <c r="E68" s="89" t="str">
        <f>+'Quarterly Data 2001-2021'!R68</f>
        <v>N.A.</v>
      </c>
      <c r="F68" s="89" t="str">
        <f>+'Quarterly Data 2001-2021'!V68</f>
        <v>N.A.</v>
      </c>
      <c r="G68" s="89" t="str">
        <f>+'Quarterly Data 2001-2021'!Z68</f>
        <v>N.A.</v>
      </c>
      <c r="H68" s="89" t="s">
        <v>35</v>
      </c>
      <c r="I68" s="89">
        <v>175.16279069767441</v>
      </c>
      <c r="J68" s="89">
        <f>'Quarterly Data 2001-2021'!AL68</f>
        <v>202.6</v>
      </c>
      <c r="K68" s="89">
        <f>'Quarterly Data 2001-2021'!AP68</f>
        <v>236.8</v>
      </c>
      <c r="L68" s="89">
        <f>'Quarterly Data 2001-2021'!AT68</f>
        <v>263</v>
      </c>
      <c r="M68" s="89">
        <f>'Quarterly Data 2001-2021'!AX68</f>
        <v>283.286</v>
      </c>
      <c r="N68" s="89">
        <f>'Quarterly Data 2001-2021'!BB68</f>
        <v>316.5</v>
      </c>
      <c r="O68" s="89">
        <f>'Quarterly Data 2001-2021'!BF68</f>
        <v>371.2</v>
      </c>
      <c r="P68" s="89">
        <f>'Quarterly Data 2001-2021'!BJ68</f>
        <v>467.6</v>
      </c>
      <c r="Q68" s="89">
        <f>+'Quarterly Data 2001-2021'!BN68</f>
        <v>570.6</v>
      </c>
      <c r="R68" s="89">
        <f>+'Quarterly Data 2001-2021'!BR68</f>
        <v>710.64200000000005</v>
      </c>
      <c r="S68" s="89">
        <f>+'Quarterly Data 2001-2021'!BV68</f>
        <v>837.13800000000003</v>
      </c>
      <c r="T68" s="89">
        <f>+'Quarterly Data 2001-2021'!BZ68</f>
        <v>976.42200000000003</v>
      </c>
      <c r="U68" s="89">
        <f>+'Quarterly Data 2001-2021'!CD68</f>
        <v>1280.33</v>
      </c>
      <c r="V68" s="42">
        <f>+((U68/P68)^(1/5))-1</f>
        <v>0.22317750028064021</v>
      </c>
    </row>
    <row r="69" spans="1:22" x14ac:dyDescent="0.2">
      <c r="A69" s="10"/>
      <c r="B69" s="74"/>
      <c r="C69" s="28"/>
      <c r="D69" s="28"/>
      <c r="E69" s="28"/>
      <c r="F69" s="28"/>
      <c r="G69" s="28"/>
      <c r="H69" s="28"/>
      <c r="I69" s="28"/>
      <c r="J69" s="28"/>
      <c r="K69" s="28"/>
      <c r="L69" s="28"/>
      <c r="M69" s="28"/>
      <c r="N69" s="28"/>
      <c r="O69" s="28"/>
      <c r="P69" s="99"/>
      <c r="Q69" s="99"/>
      <c r="R69" s="99"/>
      <c r="S69" s="110"/>
      <c r="T69" s="110"/>
      <c r="U69" s="110"/>
      <c r="V69" s="100"/>
    </row>
    <row r="70" spans="1:22" x14ac:dyDescent="0.2">
      <c r="A70" s="35" t="s">
        <v>85</v>
      </c>
      <c r="B70" s="76" t="s">
        <v>50</v>
      </c>
      <c r="C70" s="37" t="s">
        <v>50</v>
      </c>
      <c r="D70" s="37" t="s">
        <v>50</v>
      </c>
      <c r="E70" s="37" t="s">
        <v>50</v>
      </c>
      <c r="F70" s="37" t="s">
        <v>50</v>
      </c>
      <c r="G70" s="37" t="s">
        <v>50</v>
      </c>
      <c r="H70" s="37" t="s">
        <v>50</v>
      </c>
      <c r="I70" s="101">
        <f t="shared" ref="I70:U70" si="24">+I87/(I68*1000)</f>
        <v>0.20496420419543282</v>
      </c>
      <c r="J70" s="101">
        <f t="shared" si="24"/>
        <v>0.31798124383020732</v>
      </c>
      <c r="K70" s="101">
        <f t="shared" si="24"/>
        <v>0.3627069256756757</v>
      </c>
      <c r="L70" s="101">
        <f t="shared" si="24"/>
        <v>0.29194676806083653</v>
      </c>
      <c r="M70" s="101">
        <f t="shared" si="24"/>
        <v>0.3130017014607146</v>
      </c>
      <c r="N70" s="101">
        <f t="shared" si="24"/>
        <v>0.36600631911532383</v>
      </c>
      <c r="O70" s="101">
        <f t="shared" si="24"/>
        <v>0.39675571186147629</v>
      </c>
      <c r="P70" s="101">
        <f t="shared" si="24"/>
        <v>0.4238434438812908</v>
      </c>
      <c r="Q70" s="101">
        <f t="shared" si="24"/>
        <v>0.41911146161934804</v>
      </c>
      <c r="R70" s="101">
        <f t="shared" si="24"/>
        <v>0.39813437016412223</v>
      </c>
      <c r="S70" s="101">
        <f t="shared" si="24"/>
        <v>0.35833913147105156</v>
      </c>
      <c r="T70" s="101">
        <f t="shared" si="24"/>
        <v>0.41756404861041718</v>
      </c>
      <c r="U70" s="503">
        <f t="shared" si="24"/>
        <v>0.44559538806949406</v>
      </c>
      <c r="V70" s="42">
        <f t="shared" ref="V70:V73" si="25">+((U70/P70)^(1/5))-1</f>
        <v>1.0059699519461729E-2</v>
      </c>
    </row>
    <row r="71" spans="1:22" x14ac:dyDescent="0.2">
      <c r="A71" s="43" t="s">
        <v>77</v>
      </c>
      <c r="B71" s="76" t="s">
        <v>50</v>
      </c>
      <c r="C71" s="37" t="s">
        <v>50</v>
      </c>
      <c r="D71" s="37" t="s">
        <v>50</v>
      </c>
      <c r="E71" s="37" t="s">
        <v>50</v>
      </c>
      <c r="F71" s="37" t="s">
        <v>50</v>
      </c>
      <c r="G71" s="37" t="s">
        <v>50</v>
      </c>
      <c r="H71" s="37" t="s">
        <v>50</v>
      </c>
      <c r="I71" s="37" t="s">
        <v>50</v>
      </c>
      <c r="J71" s="45">
        <f>J31*1000/(('Quarterly Data 2001-2021'!$AH$68+'Quarterly Data 2001-2021'!$AI$68+'Quarterly Data 2001-2021'!$AJ$68+'Quarterly Data 2001-2021'!$AK$68+'Quarterly Data 2001-2021'!$AL$68)/5)</f>
        <v>2705.3536760686434</v>
      </c>
      <c r="K71" s="45">
        <f>K31*1000/(('Quarterly Data 2001-2021'!$AL$68+'Quarterly Data 2001-2021'!$AM$68+'Quarterly Data 2001-2021'!$AN$68+'Quarterly Data 2001-2021'!$AO$68+'Quarterly Data 2001-2021'!$AP$68)/5)</f>
        <v>2762.4287828787474</v>
      </c>
      <c r="L71" s="45">
        <f>L31*1000/(('Quarterly Data 2001-2021'!$AP$68+'Quarterly Data 2001-2021'!$AQ$68+'Quarterly Data 2001-2021'!$AR$68+'Quarterly Data 2001-2021'!$AS$68+'Quarterly Data 2001-2021'!$AT$68)/5)</f>
        <v>2712.2623210082693</v>
      </c>
      <c r="M71" s="45">
        <f>M31*1000/(('Quarterly Data 2001-2021'!$AT$68+'Quarterly Data 2001-2021'!$AU$68+'Quarterly Data 2001-2021'!$AV$68+'Quarterly Data 2001-2021'!$AW$68+'Quarterly Data 2001-2021'!$AX$68)/5)</f>
        <v>2009.5706277977806</v>
      </c>
      <c r="N71" s="45">
        <f>N31*1000/(('Quarterly Data 2001-2021'!$AX$68+'Quarterly Data 2001-2021'!$AY$68+'Quarterly Data 2001-2021'!$AZ$68+'Quarterly Data 2001-2021'!$BA$68+'Quarterly Data 2001-2021'!$BB$68)/5)</f>
        <v>1934.4742971147202</v>
      </c>
      <c r="O71" s="45">
        <f>O31*1000/(('Quarterly Data 2001-2021'!$BB$68+'Quarterly Data 2001-2021'!$BC$68+'Quarterly Data 2001-2021'!$BD$68+'Quarterly Data 2001-2021'!$BE$68+'Quarterly Data 2001-2021'!$BF$68)/5)</f>
        <v>1975.1023760559276</v>
      </c>
      <c r="P71" s="45">
        <f>P31*1000/(('Quarterly Data 2001-2021'!$BF$68+'Quarterly Data 2001-2021'!$BG$68+'Quarterly Data 2001-2021'!$BH$68+'Quarterly Data 2001-2021'!$BI$68+'Quarterly Data 2001-2021'!$BJ$68)/5)</f>
        <v>2125.7135406789307</v>
      </c>
      <c r="Q71" s="45">
        <f>Q31*1000/(('Quarterly Data 2001-2021'!$BJ$68+'Quarterly Data 2001-2021'!$BK$68+'Quarterly Data 2001-2021'!$BL$68+'Quarterly Data 2001-2021'!$BM$68+'Quarterly Data 2001-2021'!$BN$68)/5)</f>
        <v>1753.9240972704818</v>
      </c>
      <c r="R71" s="45">
        <f>R31*1000/(('Quarterly Data 2001-2021'!$BN$68+'Quarterly Data 2001-2021'!$BO$68+'Quarterly Data 2001-2021'!$BP$68+'Quarterly Data 2001-2021'!$BQ$68+'Quarterly Data 2001-2021'!$BR$68)/5)</f>
        <v>1526.449489162324</v>
      </c>
      <c r="S71" s="45">
        <f>S31*1000/(('Quarterly Data 2001-2021'!$BR$68+'Quarterly Data 2001-2021'!$BS$68+'Quarterly Data 2001-2021'!$BT$68+'Quarterly Data 2001-2021'!$BU$68+'Quarterly Data 2001-2021'!$BV$68)/5)</f>
        <v>1349.8180958010885</v>
      </c>
      <c r="T71" s="45">
        <f>T31*1000/(('Quarterly Data 2001-2021'!$BV$68+'Quarterly Data 2001-2021'!$BW$68+'Quarterly Data 2001-2021'!$BX$68+'Quarterly Data 2001-2021'!$BY$68+'Quarterly Data 2001-2021'!$BZ$68)/5)</f>
        <v>1318.5122631024319</v>
      </c>
      <c r="U71" s="45">
        <f>U31*1000/(('Quarterly Data 2001-2021'!$BZ$68+'Quarterly Data 2001-2021'!$CA$68+'Quarterly Data 2001-2021'!$CB$68+'Quarterly Data 2001-2021'!$CC$68+'Quarterly Data 2001-2021'!$CD$68)/5)</f>
        <v>2086.1237392977723</v>
      </c>
      <c r="V71" s="42">
        <f t="shared" si="25"/>
        <v>-3.7529113809502412E-3</v>
      </c>
    </row>
    <row r="72" spans="1:22" x14ac:dyDescent="0.2">
      <c r="A72" s="43" t="s">
        <v>78</v>
      </c>
      <c r="B72" s="76" t="s">
        <v>50</v>
      </c>
      <c r="C72" s="37" t="s">
        <v>50</v>
      </c>
      <c r="D72" s="37" t="s">
        <v>50</v>
      </c>
      <c r="E72" s="37" t="s">
        <v>50</v>
      </c>
      <c r="F72" s="37" t="s">
        <v>50</v>
      </c>
      <c r="G72" s="37" t="s">
        <v>50</v>
      </c>
      <c r="H72" s="37" t="s">
        <v>50</v>
      </c>
      <c r="I72" s="37" t="s">
        <v>50</v>
      </c>
      <c r="J72" s="45">
        <f>J37*1000/(('Quarterly Data 2001-2021'!$AH$68+'Quarterly Data 2001-2021'!$AI$68+'Quarterly Data 2001-2021'!$AJ$68+'Quarterly Data 2001-2021'!$AK$68+'Quarterly Data 2001-2021'!$AL$68)/5)</f>
        <v>-1216.7986211977607</v>
      </c>
      <c r="K72" s="45">
        <f>K37*1000/(('Quarterly Data 2001-2021'!$AL$68+'Quarterly Data 2001-2021'!$AM$68+'Quarterly Data 2001-2021'!$AN$68+'Quarterly Data 2001-2021'!$AO$68+'Quarterly Data 2001-2021'!$AP$68)/5)</f>
        <v>-1271.7310071973488</v>
      </c>
      <c r="L72" s="45">
        <f>L37*1000/(('Quarterly Data 2001-2021'!$AP$68+'Quarterly Data 2001-2021'!$AQ$68+'Quarterly Data 2001-2021'!$AR$68+'Quarterly Data 2001-2021'!$AS$68+'Quarterly Data 2001-2021'!$AT$68)/5)</f>
        <v>-1337.9294167461833</v>
      </c>
      <c r="M72" s="45">
        <f>M37*1000/(('Quarterly Data 2001-2021'!$AT$68+'Quarterly Data 2001-2021'!$AU$68+'Quarterly Data 2001-2021'!$AV$68+'Quarterly Data 2001-2021'!$AW$68+'Quarterly Data 2001-2021'!$AX$68)/5)</f>
        <v>-1276.156427897397</v>
      </c>
      <c r="N72" s="45">
        <f>N37*1000/(('Quarterly Data 2001-2021'!$AX$68+'Quarterly Data 2001-2021'!$AY$68+'Quarterly Data 2001-2021'!$AZ$68+'Quarterly Data 2001-2021'!$BA$68+'Quarterly Data 2001-2021'!$BB$68)/5)</f>
        <v>-1178.6778663439279</v>
      </c>
      <c r="O72" s="45">
        <f>O37*1000/(('Quarterly Data 2001-2021'!$BB$68+'Quarterly Data 2001-2021'!$BC$68+'Quarterly Data 2001-2021'!$BD$68+'Quarterly Data 2001-2021'!$BE$68+'Quarterly Data 2001-2021'!$BF$68)/5)</f>
        <v>-1114.8849402854644</v>
      </c>
      <c r="P72" s="45">
        <f>P37*1000/(('Quarterly Data 2001-2021'!$BF$68+'Quarterly Data 2001-2021'!$BG$68+'Quarterly Data 2001-2021'!$BH$68+'Quarterly Data 2001-2021'!$BI$68+'Quarterly Data 2001-2021'!$BJ$68)/5)</f>
        <v>-974.30305329034707</v>
      </c>
      <c r="Q72" s="45">
        <f>Q37*1000/(('Quarterly Data 2001-2021'!$BJ$68+'Quarterly Data 2001-2021'!$BK$68+'Quarterly Data 2001-2021'!$BL$68+'Quarterly Data 2001-2021'!$BM$68+'Quarterly Data 2001-2021'!$BN$68)/5)</f>
        <v>-855.53239132113333</v>
      </c>
      <c r="R72" s="45">
        <f>R37*1000/(('Quarterly Data 2001-2021'!$BN$68+'Quarterly Data 2001-2021'!$BO$68+'Quarterly Data 2001-2021'!$BP$68+'Quarterly Data 2001-2021'!$BQ$68+'Quarterly Data 2001-2021'!$BR$68)/5)</f>
        <v>-836.86932007027951</v>
      </c>
      <c r="S72" s="45">
        <f>(S37+35)*1000/(('Quarterly Data 2001-2021'!$BR$68+'Quarterly Data 2001-2021'!$BS$68+'Quarterly Data 2001-2021'!$BT$68+'Quarterly Data 2001-2021'!$BU$68+'Quarterly Data 2001-2021'!$BV$68)/5)</f>
        <v>-764.72796495364264</v>
      </c>
      <c r="T72" s="45">
        <f>T37*1000/(('Quarterly Data 2001-2021'!$BV$68+'Quarterly Data 2001-2021'!$BW$68+'Quarterly Data 2001-2021'!$BX$68+'Quarterly Data 2001-2021'!$BY$68+'Quarterly Data 2001-2021'!$BZ$68)/5)</f>
        <v>-735.26280138581262</v>
      </c>
      <c r="U72" s="45">
        <f>U37*1000/(('Quarterly Data 2001-2021'!$BZ$68+'Quarterly Data 2001-2021'!$CA$68+'Quarterly Data 2001-2021'!$CB$68+'Quarterly Data 2001-2021'!$CC$68+'Quarterly Data 2001-2021'!$CD$68)/5)</f>
        <v>-677.31460464133909</v>
      </c>
      <c r="V72" s="42">
        <f t="shared" si="25"/>
        <v>-7.0136340106661144E-2</v>
      </c>
    </row>
    <row r="73" spans="1:22" x14ac:dyDescent="0.2">
      <c r="A73" s="43" t="s">
        <v>79</v>
      </c>
      <c r="B73" s="76" t="s">
        <v>50</v>
      </c>
      <c r="C73" s="37" t="s">
        <v>50</v>
      </c>
      <c r="D73" s="37" t="s">
        <v>50</v>
      </c>
      <c r="E73" s="37" t="s">
        <v>50</v>
      </c>
      <c r="F73" s="37" t="s">
        <v>50</v>
      </c>
      <c r="G73" s="37" t="s">
        <v>50</v>
      </c>
      <c r="H73" s="37" t="s">
        <v>50</v>
      </c>
      <c r="I73" s="37" t="s">
        <v>50</v>
      </c>
      <c r="J73" s="45">
        <f>J43*1000/(('Quarterly Data 2001-2021'!$AH$68+'Quarterly Data 2001-2021'!$AI$68+'Quarterly Data 2001-2021'!$AJ$68+'Quarterly Data 2001-2021'!$AK$68+'Quarterly Data 2001-2021'!$AL$68)/5)</f>
        <v>1488.5550548708829</v>
      </c>
      <c r="K73" s="45">
        <f>K43*1000/(('Quarterly Data 2001-2021'!$AL$68+'Quarterly Data 2001-2021'!$AM$68+'Quarterly Data 2001-2021'!$AN$68+'Quarterly Data 2001-2021'!$AO$68+'Quarterly Data 2001-2021'!$AP$68)/5)</f>
        <v>1490.6977756813983</v>
      </c>
      <c r="L73" s="45">
        <f>L43*1000/(('Quarterly Data 2001-2021'!$AP$68+'Quarterly Data 2001-2021'!$AQ$68+'Quarterly Data 2001-2021'!$AR$68+'Quarterly Data 2001-2021'!$AS$68+'Quarterly Data 2001-2021'!$AT$68)/5)</f>
        <v>1350.4779424300252</v>
      </c>
      <c r="M73" s="45">
        <f>M43*1000/(('Quarterly Data 2001-2021'!$AT$68+'Quarterly Data 2001-2021'!$AU$68+'Quarterly Data 2001-2021'!$AV$68+'Quarterly Data 2001-2021'!$AW$68+'Quarterly Data 2001-2021'!$AX$68)/5)</f>
        <v>729.76472203118249</v>
      </c>
      <c r="N73" s="45">
        <f>N43*1000/(('Quarterly Data 2001-2021'!$AX$68+'Quarterly Data 2001-2021'!$AY$68+'Quarterly Data 2001-2021'!$AZ$68+'Quarterly Data 2001-2021'!$BA$68+'Quarterly Data 2001-2021'!$BB$68)/5)</f>
        <v>752.45683235082322</v>
      </c>
      <c r="O73" s="45">
        <f>O43*1000/(('Quarterly Data 2001-2021'!$BB$68+'Quarterly Data 2001-2021'!$BC$68+'Quarterly Data 2001-2021'!$BD$68+'Quarterly Data 2001-2021'!$BE$68+'Quarterly Data 2001-2021'!$BF$68)/5)</f>
        <v>861.38259743664423</v>
      </c>
      <c r="P73" s="45">
        <f>P43*1000/(('Quarterly Data 2001-2021'!$BF$68+'Quarterly Data 2001-2021'!$BG$68+'Quarterly Data 2001-2021'!$BH$68+'Quarterly Data 2001-2021'!$BI$68+'Quarterly Data 2001-2021'!$BJ$68)/5)</f>
        <v>1150.8992461596815</v>
      </c>
      <c r="Q73" s="45">
        <f>Q43*1000/(('Quarterly Data 2001-2021'!$BJ$68+'Quarterly Data 2001-2021'!$BK$68+'Quarterly Data 2001-2021'!$BL$68+'Quarterly Data 2001-2021'!$BM$68+'Quarterly Data 2001-2021'!$BN$68)/5)</f>
        <v>897.41688740251811</v>
      </c>
      <c r="R73" s="45">
        <f>R43*1000/(('Quarterly Data 2001-2021'!$BN$68+'Quarterly Data 2001-2021'!$BO$68+'Quarterly Data 2001-2021'!$BP$68+'Quarterly Data 2001-2021'!$BQ$68+'Quarterly Data 2001-2021'!$BR$68)/5)</f>
        <v>690.19090217579844</v>
      </c>
      <c r="S73" s="45">
        <f>(S43+35)*1000/(('Quarterly Data 2001-2021'!$BR$68+'Quarterly Data 2001-2021'!$BS$68+'Quarterly Data 2001-2021'!$BT$68+'Quarterly Data 2001-2021'!$BU$68+'Quarterly Data 2001-2021'!$BV$68)/5)</f>
        <v>582.7542010258461</v>
      </c>
      <c r="T73" s="45">
        <f>T43*1000/(('Quarterly Data 2001-2021'!$BV$68+'Quarterly Data 2001-2021'!$BW$68+'Quarterly Data 2001-2021'!$BX$68+'Quarterly Data 2001-2021'!$BY$68+'Quarterly Data 2001-2021'!$BZ$68)/5)</f>
        <v>574.50819403968774</v>
      </c>
      <c r="U73" s="45">
        <f>U43*1000/(('Quarterly Data 2001-2021'!$BZ$68+'Quarterly Data 2001-2021'!$CA$68+'Quarterly Data 2001-2021'!$CB$68+'Quarterly Data 2001-2021'!$CC$68+'Quarterly Data 2001-2021'!$CD$68)/5)</f>
        <v>1400.1941284445495</v>
      </c>
      <c r="V73" s="42">
        <f t="shared" si="25"/>
        <v>3.9992456787808495E-2</v>
      </c>
    </row>
    <row r="74" spans="1:22" x14ac:dyDescent="0.2">
      <c r="A74" s="10"/>
      <c r="B74" s="74"/>
      <c r="C74" s="28"/>
      <c r="D74" s="28"/>
      <c r="E74" s="28"/>
      <c r="F74" s="28"/>
      <c r="G74" s="28"/>
      <c r="H74" s="28"/>
      <c r="I74" s="28"/>
      <c r="J74" s="28"/>
      <c r="K74" s="28"/>
      <c r="L74" s="28"/>
      <c r="M74" s="28"/>
      <c r="N74" s="28"/>
      <c r="O74" s="28"/>
      <c r="P74" s="99"/>
      <c r="Q74" s="110"/>
      <c r="R74" s="110"/>
      <c r="S74" s="110"/>
      <c r="T74" s="110"/>
      <c r="U74" s="110"/>
      <c r="V74" s="100"/>
    </row>
    <row r="75" spans="1:22" x14ac:dyDescent="0.2">
      <c r="A75" s="237" t="s">
        <v>210</v>
      </c>
      <c r="B75" s="74"/>
      <c r="C75" s="28"/>
      <c r="D75" s="28"/>
      <c r="E75" s="28"/>
      <c r="F75" s="28"/>
      <c r="G75" s="28"/>
      <c r="H75" s="28"/>
      <c r="I75" s="28"/>
      <c r="J75" s="28"/>
      <c r="K75" s="28"/>
      <c r="L75" s="28"/>
      <c r="M75" s="28"/>
      <c r="N75" s="28"/>
      <c r="O75" s="28"/>
      <c r="P75" s="28"/>
      <c r="Q75" s="29"/>
      <c r="R75" s="29"/>
      <c r="S75" s="29"/>
      <c r="T75" s="29"/>
      <c r="U75" s="29"/>
      <c r="V75" s="34"/>
    </row>
    <row r="76" spans="1:22" x14ac:dyDescent="0.2">
      <c r="A76" s="35" t="s">
        <v>168</v>
      </c>
      <c r="B76" s="76" t="s">
        <v>50</v>
      </c>
      <c r="C76" s="37" t="s">
        <v>50</v>
      </c>
      <c r="D76" s="37" t="s">
        <v>50</v>
      </c>
      <c r="E76" s="37" t="s">
        <v>50</v>
      </c>
      <c r="F76" s="37" t="s">
        <v>50</v>
      </c>
      <c r="G76" s="37" t="s">
        <v>50</v>
      </c>
      <c r="H76" s="37" t="s">
        <v>50</v>
      </c>
      <c r="I76" s="37" t="s">
        <v>50</v>
      </c>
      <c r="J76" s="37" t="s">
        <v>50</v>
      </c>
      <c r="K76" s="37" t="s">
        <v>50</v>
      </c>
      <c r="L76" s="37" t="s">
        <v>50</v>
      </c>
      <c r="M76" s="37" t="s">
        <v>50</v>
      </c>
      <c r="N76" s="37" t="s">
        <v>50</v>
      </c>
      <c r="O76" s="37" t="s">
        <v>50</v>
      </c>
      <c r="P76" s="37">
        <f>SUM('Quarterly Data 2001-2021'!BG77:BJ77)</f>
        <v>20238.7</v>
      </c>
      <c r="Q76" s="38">
        <f>SUM('Quarterly Data 2001-2021'!BK77:BN77)</f>
        <v>20043.18306626</v>
      </c>
      <c r="R76" s="38">
        <f>SUM('Quarterly Data 2001-2021'!BO77:BR77)</f>
        <v>27072.092280159981</v>
      </c>
      <c r="S76" s="38">
        <f>SUM('Quarterly Data 2001-2021'!BS77:BV77)</f>
        <v>26254.993648102263</v>
      </c>
      <c r="T76" s="38">
        <f>SUM('Quarterly Data 2001-2021'!BW77:BZ77)</f>
        <v>31081.808169539996</v>
      </c>
      <c r="U76" s="38">
        <f>SUM('Quarterly Data 2001-2021'!CA77:CD77)</f>
        <v>63654.523547300065</v>
      </c>
      <c r="V76" s="203" t="s">
        <v>35</v>
      </c>
    </row>
    <row r="77" spans="1:22" x14ac:dyDescent="0.2">
      <c r="A77" s="43" t="s">
        <v>169</v>
      </c>
      <c r="B77" s="49" t="s">
        <v>50</v>
      </c>
      <c r="C77" s="45" t="s">
        <v>50</v>
      </c>
      <c r="D77" s="45" t="s">
        <v>50</v>
      </c>
      <c r="E77" s="45" t="s">
        <v>50</v>
      </c>
      <c r="F77" s="45" t="s">
        <v>50</v>
      </c>
      <c r="G77" s="45" t="s">
        <v>50</v>
      </c>
      <c r="H77" s="45" t="s">
        <v>50</v>
      </c>
      <c r="I77" s="45" t="s">
        <v>50</v>
      </c>
      <c r="J77" s="45" t="s">
        <v>50</v>
      </c>
      <c r="K77" s="45" t="s">
        <v>50</v>
      </c>
      <c r="L77" s="45" t="s">
        <v>50</v>
      </c>
      <c r="M77" s="45" t="s">
        <v>50</v>
      </c>
      <c r="N77" s="45" t="s">
        <v>50</v>
      </c>
      <c r="O77" s="45" t="s">
        <v>50</v>
      </c>
      <c r="P77" s="45">
        <f>SUM('Quarterly Data 2001-2021'!BG78:BJ78)</f>
        <v>4322.3</v>
      </c>
      <c r="Q77" s="46">
        <f>SUM('Quarterly Data 2001-2021'!BK78:BN78)</f>
        <v>6027.5014650799958</v>
      </c>
      <c r="R77" s="46">
        <f>SUM('Quarterly Data 2001-2021'!BO78:BR78)</f>
        <v>-934.55576162998591</v>
      </c>
      <c r="S77" s="38">
        <f>SUM('Quarterly Data 2001-2021'!BS78:BV78)</f>
        <v>725.39120295998725</v>
      </c>
      <c r="T77" s="38">
        <f>SUM('Quarterly Data 2001-2021'!BW78:BZ78)</f>
        <v>1703.3014618500151</v>
      </c>
      <c r="U77" s="38">
        <f>SUM('Quarterly Data 2001-2021'!CA78:CD78)</f>
        <v>12043.086827999967</v>
      </c>
      <c r="V77" s="121" t="s">
        <v>35</v>
      </c>
    </row>
    <row r="78" spans="1:22" x14ac:dyDescent="0.2">
      <c r="A78" s="43" t="s">
        <v>170</v>
      </c>
      <c r="B78" s="49" t="s">
        <v>50</v>
      </c>
      <c r="C78" s="45" t="s">
        <v>50</v>
      </c>
      <c r="D78" s="45" t="s">
        <v>50</v>
      </c>
      <c r="E78" s="45" t="s">
        <v>50</v>
      </c>
      <c r="F78" s="45" t="s">
        <v>50</v>
      </c>
      <c r="G78" s="45" t="s">
        <v>50</v>
      </c>
      <c r="H78" s="45" t="s">
        <v>50</v>
      </c>
      <c r="I78" s="45" t="s">
        <v>50</v>
      </c>
      <c r="J78" s="45" t="s">
        <v>50</v>
      </c>
      <c r="K78" s="45" t="s">
        <v>50</v>
      </c>
      <c r="L78" s="45" t="s">
        <v>50</v>
      </c>
      <c r="M78" s="45" t="s">
        <v>50</v>
      </c>
      <c r="N78" s="45" t="s">
        <v>50</v>
      </c>
      <c r="O78" s="45" t="s">
        <v>50</v>
      </c>
      <c r="P78" s="45">
        <f>SUM('Quarterly Data 2001-2021'!BG79:BJ79)</f>
        <v>627</v>
      </c>
      <c r="Q78" s="46">
        <f>SUM('Quarterly Data 2001-2021'!BK79:BN79)</f>
        <v>451.16671528000074</v>
      </c>
      <c r="R78" s="46">
        <f>SUM('Quarterly Data 2001-2021'!BO79:BR79)</f>
        <v>642.69273927999984</v>
      </c>
      <c r="S78" s="38">
        <f>SUM('Quarterly Data 2001-2021'!BS79:BV79)</f>
        <v>570.02699303000111</v>
      </c>
      <c r="T78" s="38">
        <f>SUM('Quarterly Data 2001-2021'!BW79:BZ79)</f>
        <v>-193.40856792999801</v>
      </c>
      <c r="U78" s="38">
        <f>SUM('Quarterly Data 2001-2021'!CA79:CD79)</f>
        <v>561.48250456999699</v>
      </c>
      <c r="V78" s="121" t="s">
        <v>35</v>
      </c>
    </row>
    <row r="79" spans="1:22" s="425" customFormat="1" x14ac:dyDescent="0.2">
      <c r="A79" s="204" t="s">
        <v>211</v>
      </c>
      <c r="B79" s="258" t="s">
        <v>35</v>
      </c>
      <c r="C79" s="192">
        <v>1300</v>
      </c>
      <c r="D79" s="192">
        <f>SUM('Quarterly Data 2001-2021'!K80:N80)</f>
        <v>1657.702</v>
      </c>
      <c r="E79" s="192">
        <f>SUM('Quarterly Data 2001-2021'!O80:R80)</f>
        <v>3294.94</v>
      </c>
      <c r="F79" s="192">
        <f>SUM('Quarterly Data 2001-2021'!S80:V80)</f>
        <v>5659.9359999999997</v>
      </c>
      <c r="G79" s="192">
        <f>SUM('Quarterly Data 2001-2021'!W80:Z80)</f>
        <v>6032.1670000000004</v>
      </c>
      <c r="H79" s="192">
        <f>SUM('Quarterly Data 2001-2021'!AA80:AD80)</f>
        <v>5003.1820000000007</v>
      </c>
      <c r="I79" s="192">
        <f>SUM('Quarterly Data 2001-2021'!AE80:AH80)</f>
        <v>6761</v>
      </c>
      <c r="J79" s="192">
        <f>SUM('Quarterly Data 2001-2021'!AI80:AL80)</f>
        <v>9946</v>
      </c>
      <c r="K79" s="192">
        <f>SUM('Quarterly Data 2001-2021'!AM80:AP80)</f>
        <v>9566</v>
      </c>
      <c r="L79" s="192">
        <f>SUM('Quarterly Data 2001-2021'!AQ80:AT80)</f>
        <v>6458</v>
      </c>
      <c r="M79" s="192">
        <f>SUM('Quarterly Data 2001-2021'!AU80:AX80)</f>
        <v>5375</v>
      </c>
      <c r="N79" s="192">
        <f>SUM('Quarterly Data 2001-2021'!AY80:BB80)</f>
        <v>10898</v>
      </c>
      <c r="O79" s="192">
        <f>SUM('Quarterly Data 2001-2021'!BC80:BF80)</f>
        <v>20062</v>
      </c>
      <c r="P79" s="192">
        <f>SUM('Quarterly Data 2001-2021'!BG80:BJ80)</f>
        <v>25188</v>
      </c>
      <c r="Q79" s="192">
        <f>SUM('Quarterly Data 2001-2021'!BK80:BN80)</f>
        <v>26522</v>
      </c>
      <c r="R79" s="192">
        <f>SUM('Quarterly Data 2001-2021'!BO80:BR80)</f>
        <v>26780.229257809995</v>
      </c>
      <c r="S79" s="191">
        <f>SUM('Quarterly Data 2001-2021'!BS80:BV80)</f>
        <v>27550.028942702251</v>
      </c>
      <c r="T79" s="191">
        <f>SUM('Quarterly Data 2001-2021'!BW80:BZ80)</f>
        <v>32592.118018540023</v>
      </c>
      <c r="U79" s="191">
        <f>SUM('Quarterly Data 2001-2021'!CA80:CD80)</f>
        <v>76266.05937345</v>
      </c>
      <c r="V79" s="194">
        <f>+((U79/P79)^(1/5))-1</f>
        <v>0.24803718288744081</v>
      </c>
    </row>
    <row r="80" spans="1:22" x14ac:dyDescent="0.2">
      <c r="A80" s="114"/>
      <c r="B80" s="74"/>
      <c r="C80" s="28"/>
      <c r="D80" s="28"/>
      <c r="E80" s="28"/>
      <c r="F80" s="28"/>
      <c r="G80" s="28"/>
      <c r="H80" s="28"/>
      <c r="I80" s="28"/>
      <c r="J80" s="28"/>
      <c r="K80" s="28"/>
      <c r="L80" s="28"/>
      <c r="M80" s="28"/>
      <c r="N80" s="28"/>
      <c r="O80" s="28"/>
      <c r="P80" s="99"/>
      <c r="Q80" s="110"/>
      <c r="R80" s="110"/>
      <c r="S80" s="110"/>
      <c r="T80" s="110"/>
      <c r="U80" s="110"/>
      <c r="V80" s="34"/>
    </row>
    <row r="81" spans="1:22" x14ac:dyDescent="0.2">
      <c r="A81" s="237" t="s">
        <v>128</v>
      </c>
      <c r="B81" s="74"/>
      <c r="C81" s="28"/>
      <c r="D81" s="28"/>
      <c r="E81" s="28"/>
      <c r="F81" s="28"/>
      <c r="G81" s="28"/>
      <c r="H81" s="28"/>
      <c r="I81" s="28"/>
      <c r="J81" s="28"/>
      <c r="K81" s="28"/>
      <c r="L81" s="28"/>
      <c r="M81" s="28"/>
      <c r="N81" s="28"/>
      <c r="O81" s="28"/>
      <c r="P81" s="99"/>
      <c r="Q81" s="110"/>
      <c r="R81" s="110"/>
      <c r="S81" s="110"/>
      <c r="T81" s="110"/>
      <c r="U81" s="110"/>
      <c r="V81" s="100"/>
    </row>
    <row r="82" spans="1:22" x14ac:dyDescent="0.2">
      <c r="A82" s="416" t="s">
        <v>159</v>
      </c>
      <c r="B82" s="76">
        <f>+'Quarterly Data 2001-2021'!F83</f>
        <v>7079.4</v>
      </c>
      <c r="C82" s="37">
        <f>+'Quarterly Data 2001-2021'!J83</f>
        <v>5354.7</v>
      </c>
      <c r="D82" s="37">
        <f>+'Quarterly Data 2001-2021'!N83</f>
        <v>9539.8000000000011</v>
      </c>
      <c r="E82" s="37">
        <f>+'Quarterly Data 2001-2021'!R83</f>
        <v>14440.1</v>
      </c>
      <c r="F82" s="37">
        <f>+'Quarterly Data 2001-2021'!V83</f>
        <v>24466</v>
      </c>
      <c r="G82" s="37">
        <f>+'Quarterly Data 2001-2021'!Z83</f>
        <v>33691</v>
      </c>
      <c r="H82" s="37">
        <f>'Quarterly Data 2001-2021'!AD83</f>
        <v>32154</v>
      </c>
      <c r="I82" s="37">
        <f>'Quarterly Data 2001-2021'!AH83</f>
        <v>21703.261999999999</v>
      </c>
      <c r="J82" s="37">
        <f>'Quarterly Data 2001-2021'!AL83</f>
        <v>42294</v>
      </c>
      <c r="K82" s="37">
        <f>'Quarterly Data 2001-2021'!AP83</f>
        <v>56411</v>
      </c>
      <c r="L82" s="37">
        <f>'Quarterly Data 2001-2021'!AT83</f>
        <v>46934</v>
      </c>
      <c r="M82" s="37">
        <f>'Quarterly Data 2001-2021'!AX83</f>
        <v>54521</v>
      </c>
      <c r="N82" s="37">
        <f>'Quarterly Data 2001-2021'!BB83</f>
        <v>70352</v>
      </c>
      <c r="O82" s="37">
        <f>'Quarterly Data 2001-2021'!BF83</f>
        <v>84387.909451099986</v>
      </c>
      <c r="P82" s="37">
        <f>'Quarterly Data 2001-2021'!BJ83</f>
        <v>119028.81067560156</v>
      </c>
      <c r="Q82" s="38">
        <f>+'Quarterly Data 2001-2021'!BN83</f>
        <v>145272</v>
      </c>
      <c r="R82" s="38">
        <f>+'Quarterly Data 2001-2021'!BR83</f>
        <v>159446.85219854221</v>
      </c>
      <c r="S82" s="38">
        <f>+'Quarterly Data 2001-2021'!BV83</f>
        <v>160964.48217900313</v>
      </c>
      <c r="T82" s="38">
        <f>+'Quarterly Data 2001-2021'!BZ83</f>
        <v>225021.71171163066</v>
      </c>
      <c r="U82" s="38">
        <f>+'Quarterly Data 2001-2021'!CD83</f>
        <v>342070.97393594531</v>
      </c>
      <c r="V82" s="42">
        <f t="shared" ref="V82:V103" si="26">+((U82/P82)^(1/5))-1</f>
        <v>0.23507356396173629</v>
      </c>
    </row>
    <row r="83" spans="1:22" x14ac:dyDescent="0.2">
      <c r="A83" s="417" t="s">
        <v>160</v>
      </c>
      <c r="B83" s="49">
        <f>+'Quarterly Data 2001-2021'!F84</f>
        <v>280</v>
      </c>
      <c r="C83" s="45">
        <f>+'Quarterly Data 2001-2021'!J84</f>
        <v>380</v>
      </c>
      <c r="D83" s="45">
        <f>+'Quarterly Data 2001-2021'!N84</f>
        <v>500</v>
      </c>
      <c r="E83" s="45">
        <f>+'Quarterly Data 2001-2021'!R84</f>
        <v>1096</v>
      </c>
      <c r="F83" s="45">
        <f>+'Quarterly Data 2001-2021'!V84</f>
        <v>3877</v>
      </c>
      <c r="G83" s="45">
        <f>+'Quarterly Data 2001-2021'!Z84</f>
        <v>6553</v>
      </c>
      <c r="H83" s="37">
        <f>'Quarterly Data 2001-2021'!AD84</f>
        <v>8956</v>
      </c>
      <c r="I83" s="37">
        <f>'Quarterly Data 2001-2021'!AH84</f>
        <v>6189.84</v>
      </c>
      <c r="J83" s="37">
        <f>'Quarterly Data 2001-2021'!AL84</f>
        <v>13114</v>
      </c>
      <c r="K83" s="37">
        <f>'Quarterly Data 2001-2021'!AP84</f>
        <v>17738</v>
      </c>
      <c r="L83" s="37">
        <f>'Quarterly Data 2001-2021'!AT84</f>
        <v>15163</v>
      </c>
      <c r="M83" s="37">
        <f>'Quarterly Data 2001-2021'!AX84</f>
        <v>18920</v>
      </c>
      <c r="N83" s="37">
        <f>'Quarterly Data 2001-2021'!BB84</f>
        <v>27898</v>
      </c>
      <c r="O83" s="37">
        <f>'Quarterly Data 2001-2021'!BF84</f>
        <v>40255</v>
      </c>
      <c r="P83" s="37">
        <f>'Quarterly Data 2001-2021'!BJ84</f>
        <v>48876.976203999999</v>
      </c>
      <c r="Q83" s="38">
        <f>+'Quarterly Data 2001-2021'!BN84</f>
        <v>58923</v>
      </c>
      <c r="R83" s="38">
        <f>+'Quarterly Data 2001-2021'!BR84</f>
        <v>80236.739243999997</v>
      </c>
      <c r="S83" s="38">
        <f>+'Quarterly Data 2001-2021'!BV84</f>
        <v>81121.373778999987</v>
      </c>
      <c r="T83" s="38">
        <f>+'Quarterly Data 2001-2021'!BZ84</f>
        <v>119927.02235</v>
      </c>
      <c r="U83" s="38">
        <f>+'Quarterly Data 2001-2021'!CD84</f>
        <v>150886.791619</v>
      </c>
      <c r="V83" s="42">
        <f t="shared" si="26"/>
        <v>0.25287971786243779</v>
      </c>
    </row>
    <row r="84" spans="1:22" x14ac:dyDescent="0.2">
      <c r="A84" s="417" t="s">
        <v>161</v>
      </c>
      <c r="B84" s="49">
        <f>+'Quarterly Data 2001-2021'!F85</f>
        <v>1227</v>
      </c>
      <c r="C84" s="45">
        <f>+'Quarterly Data 2001-2021'!J85</f>
        <v>1031.2</v>
      </c>
      <c r="D84" s="45">
        <f>+'Quarterly Data 2001-2021'!N85</f>
        <v>1465.4</v>
      </c>
      <c r="E84" s="45">
        <f>+'Quarterly Data 2001-2021'!R85</f>
        <v>1765.9</v>
      </c>
      <c r="F84" s="45">
        <f>+'Quarterly Data 2001-2021'!V85</f>
        <v>3526.5</v>
      </c>
      <c r="G84" s="45">
        <f>+'Quarterly Data 2001-2021'!Z85</f>
        <v>5280.7</v>
      </c>
      <c r="H84" s="37">
        <f>'Quarterly Data 2001-2021'!AD85</f>
        <v>7078</v>
      </c>
      <c r="I84" s="37">
        <f>'Quarterly Data 2001-2021'!AH85</f>
        <v>8009</v>
      </c>
      <c r="J84" s="37">
        <f>'Quarterly Data 2001-2021'!AL85</f>
        <v>9015</v>
      </c>
      <c r="K84" s="37">
        <f>'Quarterly Data 2001-2021'!AP85</f>
        <v>11740</v>
      </c>
      <c r="L84" s="37">
        <f>'Quarterly Data 2001-2021'!AT85</f>
        <v>14685</v>
      </c>
      <c r="M84" s="37">
        <f>'Quarterly Data 2001-2021'!AX85</f>
        <v>15228</v>
      </c>
      <c r="N84" s="37">
        <f>'Quarterly Data 2001-2021'!BB85</f>
        <v>17591</v>
      </c>
      <c r="O84" s="37">
        <f>'Quarterly Data 2001-2021'!BF85</f>
        <v>22632.810791880001</v>
      </c>
      <c r="P84" s="37">
        <f>'Quarterly Data 2001-2021'!BJ85</f>
        <v>30283.407479290006</v>
      </c>
      <c r="Q84" s="38">
        <f>+'Quarterly Data 2001-2021'!BN85</f>
        <v>34950</v>
      </c>
      <c r="R84" s="38">
        <f>+'Quarterly Data 2001-2021'!BR85</f>
        <v>43247.413639629958</v>
      </c>
      <c r="S84" s="38">
        <f>+'Quarterly Data 2001-2021'!BV85</f>
        <v>57893.447883410074</v>
      </c>
      <c r="T84" s="38">
        <f>+'Quarterly Data 2001-2021'!BZ85</f>
        <v>62769.989410650131</v>
      </c>
      <c r="U84" s="38">
        <f>+'Quarterly Data 2001-2021'!CD85</f>
        <v>77551.377652070019</v>
      </c>
      <c r="V84" s="42">
        <f t="shared" si="26"/>
        <v>0.20691575168579579</v>
      </c>
    </row>
    <row r="85" spans="1:22" x14ac:dyDescent="0.2">
      <c r="A85" s="417" t="s">
        <v>162</v>
      </c>
      <c r="B85" s="49" t="s">
        <v>50</v>
      </c>
      <c r="C85" s="45" t="s">
        <v>50</v>
      </c>
      <c r="D85" s="45" t="s">
        <v>50</v>
      </c>
      <c r="E85" s="45" t="s">
        <v>50</v>
      </c>
      <c r="F85" s="45" t="s">
        <v>50</v>
      </c>
      <c r="G85" s="45" t="s">
        <v>50</v>
      </c>
      <c r="H85" s="45" t="s">
        <v>50</v>
      </c>
      <c r="I85" s="45" t="s">
        <v>50</v>
      </c>
      <c r="J85" s="45" t="s">
        <v>50</v>
      </c>
      <c r="K85" s="37">
        <f>'Quarterly Data 2001-2021'!AP86</f>
        <v>805</v>
      </c>
      <c r="L85" s="37">
        <f>'Quarterly Data 2001-2021'!AT86</f>
        <v>3302</v>
      </c>
      <c r="M85" s="37">
        <f>'Quarterly Data 2001-2021'!AX86</f>
        <v>4115</v>
      </c>
      <c r="N85" s="37">
        <f>'Quarterly Data 2001-2021'!BB86</f>
        <v>4693</v>
      </c>
      <c r="O85" s="37">
        <f>'Quarterly Data 2001-2021'!BF86</f>
        <v>6700</v>
      </c>
      <c r="P85" s="37">
        <f>'Quarterly Data 2001-2021'!BJ86</f>
        <v>7451.7904792900026</v>
      </c>
      <c r="Q85" s="38">
        <f>+'Quarterly Data 2001-2021'!BN86</f>
        <v>8575</v>
      </c>
      <c r="R85" s="38">
        <f>+'Quarterly Data 2001-2021'!BR86</f>
        <v>12096.771246049961</v>
      </c>
      <c r="S85" s="38">
        <f>+'Quarterly Data 2001-2021'!BV86</f>
        <v>19001.165883410074</v>
      </c>
      <c r="T85" s="38">
        <f>+'Quarterly Data 2001-2021'!BZ86</f>
        <v>22549.923947650135</v>
      </c>
      <c r="U85" s="38">
        <f>+'Quarterly Data 2001-2021'!CD86</f>
        <v>27734.519769890019</v>
      </c>
      <c r="V85" s="42">
        <f t="shared" si="26"/>
        <v>0.30062471679484948</v>
      </c>
    </row>
    <row r="86" spans="1:22" x14ac:dyDescent="0.2">
      <c r="A86" s="417" t="s">
        <v>163</v>
      </c>
      <c r="B86" s="49">
        <f>'Quarterly Data 2001-2021'!F87</f>
        <v>666</v>
      </c>
      <c r="C86" s="45">
        <f>'Quarterly Data 2001-2021'!J87</f>
        <v>344</v>
      </c>
      <c r="D86" s="45">
        <f>'Quarterly Data 2001-2021'!N87</f>
        <v>358</v>
      </c>
      <c r="E86" s="45">
        <f>'Quarterly Data 2001-2021'!R87</f>
        <v>408</v>
      </c>
      <c r="F86" s="45">
        <f>'Quarterly Data 2001-2021'!V87</f>
        <v>1239</v>
      </c>
      <c r="G86" s="45">
        <f>'Quarterly Data 2001-2021'!Z87</f>
        <v>735</v>
      </c>
      <c r="H86" s="37">
        <f>'Quarterly Data 2001-2021'!AD87</f>
        <v>708</v>
      </c>
      <c r="I86" s="37">
        <f>'Quarterly Data 2001-2021'!AH87</f>
        <v>645</v>
      </c>
      <c r="J86" s="37">
        <f>'Quarterly Data 2001-2021'!AL87</f>
        <v>747</v>
      </c>
      <c r="K86" s="37">
        <v>776</v>
      </c>
      <c r="L86" s="37">
        <v>823</v>
      </c>
      <c r="M86" s="37">
        <f>+'Quarterly Data 2001-2021'!AX87</f>
        <v>847</v>
      </c>
      <c r="N86" s="37">
        <f>+'Quarterly Data 2001-2021'!BB87</f>
        <v>813</v>
      </c>
      <c r="O86" s="37">
        <f>'Quarterly Data 2001-2021'!BF87</f>
        <v>895</v>
      </c>
      <c r="P86" s="37">
        <f>'Quarterly Data 2001-2021'!BJ87</f>
        <v>1086</v>
      </c>
      <c r="Q86" s="38">
        <f>+'Quarterly Data 2001-2021'!BN87</f>
        <v>1143</v>
      </c>
      <c r="R86" s="38">
        <f>+'Quarterly Data 2001-2021'!BR87</f>
        <v>1199</v>
      </c>
      <c r="S86" s="38">
        <f>+'Quarterly Data 2001-2021'!BV87</f>
        <v>1575.2389713</v>
      </c>
      <c r="T86" s="38">
        <f>+'Quarterly Data 2001-2021'!BZ87</f>
        <v>1420.53458574</v>
      </c>
      <c r="U86" s="38">
        <f>+'Quarterly Data 2001-2021'!CD87</f>
        <v>1630.0249868400001</v>
      </c>
      <c r="V86" s="42">
        <f t="shared" si="26"/>
        <v>8.4608209458493233E-2</v>
      </c>
    </row>
    <row r="87" spans="1:22" s="425" customFormat="1" x14ac:dyDescent="0.2">
      <c r="A87" s="397" t="s">
        <v>204</v>
      </c>
      <c r="B87" s="56">
        <f t="shared" ref="B87:Q87" si="27">SUM(B82:B84)</f>
        <v>8586.4</v>
      </c>
      <c r="C87" s="52">
        <f t="shared" si="27"/>
        <v>6765.9</v>
      </c>
      <c r="D87" s="52">
        <f t="shared" si="27"/>
        <v>11505.2</v>
      </c>
      <c r="E87" s="52">
        <f t="shared" si="27"/>
        <v>17302</v>
      </c>
      <c r="F87" s="52">
        <f t="shared" si="27"/>
        <v>31869.5</v>
      </c>
      <c r="G87" s="52">
        <f t="shared" si="27"/>
        <v>45524.7</v>
      </c>
      <c r="H87" s="52">
        <f t="shared" si="27"/>
        <v>48188</v>
      </c>
      <c r="I87" s="52">
        <f t="shared" si="27"/>
        <v>35902.101999999999</v>
      </c>
      <c r="J87" s="52">
        <f t="shared" si="27"/>
        <v>64423</v>
      </c>
      <c r="K87" s="52">
        <f t="shared" si="27"/>
        <v>85889</v>
      </c>
      <c r="L87" s="52">
        <f t="shared" si="27"/>
        <v>76782</v>
      </c>
      <c r="M87" s="52">
        <f t="shared" si="27"/>
        <v>88669</v>
      </c>
      <c r="N87" s="52">
        <f t="shared" si="27"/>
        <v>115841</v>
      </c>
      <c r="O87" s="52">
        <f t="shared" si="27"/>
        <v>147275.72024297999</v>
      </c>
      <c r="P87" s="52">
        <f t="shared" si="27"/>
        <v>198189.19435889157</v>
      </c>
      <c r="Q87" s="52">
        <f t="shared" si="27"/>
        <v>239145</v>
      </c>
      <c r="R87" s="52">
        <f>SUM(R82:R84)</f>
        <v>282931.00508217217</v>
      </c>
      <c r="S87" s="52">
        <f>SUM(S82:S84)</f>
        <v>299979.30384141317</v>
      </c>
      <c r="T87" s="52">
        <f>SUM(T82:T84)</f>
        <v>407718.72347228078</v>
      </c>
      <c r="U87" s="52">
        <f>SUM(U82:U84)</f>
        <v>570509.14320701535</v>
      </c>
      <c r="V87" s="202">
        <f t="shared" si="26"/>
        <v>0.23548229839242985</v>
      </c>
    </row>
    <row r="88" spans="1:22" x14ac:dyDescent="0.2">
      <c r="A88" s="417" t="s">
        <v>164</v>
      </c>
      <c r="B88" s="49" t="s">
        <v>50</v>
      </c>
      <c r="C88" s="45">
        <f>'Quarterly Data 2001-2021'!J89</f>
        <v>21</v>
      </c>
      <c r="D88" s="45">
        <f>'Quarterly Data 2001-2021'!N89</f>
        <v>103</v>
      </c>
      <c r="E88" s="45">
        <f>'Quarterly Data 2001-2021'!R89</f>
        <v>330</v>
      </c>
      <c r="F88" s="45">
        <f>'Quarterly Data 2001-2021'!V89</f>
        <v>2470</v>
      </c>
      <c r="G88" s="45">
        <f>'Quarterly Data 2001-2021'!Z89</f>
        <v>4800</v>
      </c>
      <c r="H88" s="45">
        <f>'Quarterly Data 2001-2021'!AD89</f>
        <v>8404.6919999999991</v>
      </c>
      <c r="I88" s="45">
        <f>'Quarterly Data 2001-2021'!AH89</f>
        <v>8414.2470000000012</v>
      </c>
      <c r="J88" s="45">
        <f>'Quarterly Data 2001-2021'!AL89</f>
        <v>20093.672000000002</v>
      </c>
      <c r="K88" s="45">
        <f>'Quarterly Data 2001-2021'!AP89</f>
        <v>30919.100000000002</v>
      </c>
      <c r="L88" s="45">
        <f>'Quarterly Data 2001-2021'!AT89</f>
        <v>29750.070000000003</v>
      </c>
      <c r="M88" s="45">
        <f>'Quarterly Data 2001-2021'!AX89</f>
        <v>34452.1</v>
      </c>
      <c r="N88" s="45">
        <f>'Quarterly Data 2001-2021'!BB89</f>
        <v>44520.521440119905</v>
      </c>
      <c r="O88" s="45">
        <f>'Quarterly Data 2001-2021'!BF89</f>
        <v>54325.300347560158</v>
      </c>
      <c r="P88" s="45">
        <f>'Quarterly Data 2001-2021'!BJ89</f>
        <v>70609.049051020484</v>
      </c>
      <c r="Q88" s="46">
        <f>+'Quarterly Data 2001-2021'!BN89</f>
        <v>80251.15395863133</v>
      </c>
      <c r="R88" s="46">
        <f>+'Quarterly Data 2001-2021'!BR89</f>
        <v>90758.166599041899</v>
      </c>
      <c r="S88" s="46">
        <f>+'Quarterly Data 2001-2021'!BV89</f>
        <v>90954.281879511385</v>
      </c>
      <c r="T88" s="46">
        <f>+'Quarterly Data 2001-2021'!BZ89</f>
        <v>122142.64216760268</v>
      </c>
      <c r="U88" s="46">
        <f>+'Quarterly Data 2001-2021'!CD89</f>
        <v>162637.90197180252</v>
      </c>
      <c r="V88" s="88">
        <f t="shared" si="26"/>
        <v>0.18160489146069025</v>
      </c>
    </row>
    <row r="89" spans="1:22" x14ac:dyDescent="0.2">
      <c r="A89" s="418" t="s">
        <v>165</v>
      </c>
      <c r="B89" s="49" t="s">
        <v>50</v>
      </c>
      <c r="C89" s="45" t="str">
        <f>'Quarterly Data 2001-2021'!J90</f>
        <v>-</v>
      </c>
      <c r="D89" s="45" t="str">
        <f>'Quarterly Data 2001-2021'!N90</f>
        <v>-</v>
      </c>
      <c r="E89" s="45" t="str">
        <f>'Quarterly Data 2001-2021'!R90</f>
        <v>-</v>
      </c>
      <c r="F89" s="45" t="str">
        <f>'Quarterly Data 2001-2021'!V90</f>
        <v>-</v>
      </c>
      <c r="G89" s="45" t="str">
        <f>'Quarterly Data 2001-2021'!Z90</f>
        <v>-</v>
      </c>
      <c r="H89" s="45" t="str">
        <f>'Quarterly Data 2001-2021'!AD90</f>
        <v>-</v>
      </c>
      <c r="I89" s="45" t="str">
        <f>'Quarterly Data 2001-2021'!AH90</f>
        <v>-</v>
      </c>
      <c r="J89" s="45" t="str">
        <f>'Quarterly Data 2001-2021'!AL90</f>
        <v>-</v>
      </c>
      <c r="K89" s="45" t="str">
        <f>'Quarterly Data 2001-2021'!AP90</f>
        <v>-</v>
      </c>
      <c r="L89" s="45" t="str">
        <f>'Quarterly Data 2001-2021'!AT90</f>
        <v>-</v>
      </c>
      <c r="M89" s="45" t="str">
        <f>'Quarterly Data 2001-2021'!AX90</f>
        <v>-</v>
      </c>
      <c r="N89" s="45" t="str">
        <f>'Quarterly Data 2001-2021'!BB90</f>
        <v>-</v>
      </c>
      <c r="O89" s="45">
        <f>'Quarterly Data 2001-2021'!BF90</f>
        <v>39673.456166150361</v>
      </c>
      <c r="P89" s="45">
        <f>'Quarterly Data 2001-2021'!BJ90</f>
        <v>52405.978852079774</v>
      </c>
      <c r="Q89" s="46">
        <f>+'Quarterly Data 2001-2021'!BN90</f>
        <v>57897.20201168974</v>
      </c>
      <c r="R89" s="46">
        <f>+'Quarterly Data 2001-2021'!BR90</f>
        <v>63641.175791559654</v>
      </c>
      <c r="S89" s="46">
        <f>+'Quarterly Data 2001-2021'!BV90</f>
        <v>61777.923713138603</v>
      </c>
      <c r="T89" s="46">
        <f>+'Quarterly Data 2001-2021'!BZ90</f>
        <v>82037.313409409617</v>
      </c>
      <c r="U89" s="46">
        <f>+'Quarterly Data 2001-2021'!CD90</f>
        <v>113446.87683899017</v>
      </c>
      <c r="V89" s="109">
        <f t="shared" si="26"/>
        <v>0.16703086296288561</v>
      </c>
    </row>
    <row r="90" spans="1:22" x14ac:dyDescent="0.2">
      <c r="A90" s="417" t="s">
        <v>166</v>
      </c>
      <c r="B90" s="49" t="str">
        <f>'Quarterly Data 2001-2021'!F91</f>
        <v>-</v>
      </c>
      <c r="C90" s="45" t="str">
        <f>'Quarterly Data 2001-2021'!J91</f>
        <v>-</v>
      </c>
      <c r="D90" s="45" t="str">
        <f>'Quarterly Data 2001-2021'!N91</f>
        <v>-</v>
      </c>
      <c r="E90" s="45" t="str">
        <f>'Quarterly Data 2001-2021'!R91</f>
        <v>-</v>
      </c>
      <c r="F90" s="45" t="str">
        <f>'Quarterly Data 2001-2021'!V91</f>
        <v>-</v>
      </c>
      <c r="G90" s="45" t="str">
        <f>'Quarterly Data 2001-2021'!Z91</f>
        <v>-</v>
      </c>
      <c r="H90" s="45">
        <f>'Quarterly Data 2001-2021'!AD91</f>
        <v>138.80000000000001</v>
      </c>
      <c r="I90" s="45">
        <f>'Quarterly Data 2001-2021'!AH91</f>
        <v>280.505</v>
      </c>
      <c r="J90" s="45">
        <f>'Quarterly Data 2001-2021'!AL91</f>
        <v>633</v>
      </c>
      <c r="K90" s="45">
        <f>'Quarterly Data 2001-2021'!AP91</f>
        <v>1114.5999999999999</v>
      </c>
      <c r="L90" s="45">
        <f>'Quarterly Data 2001-2021'!AT91</f>
        <v>1466</v>
      </c>
      <c r="M90" s="45">
        <f>'Quarterly Data 2001-2021'!AX91</f>
        <v>2397.6</v>
      </c>
      <c r="N90" s="45">
        <f>'Quarterly Data 2001-2021'!BB91</f>
        <v>3891.0845771999493</v>
      </c>
      <c r="O90" s="45">
        <f>'Quarterly Data 2001-2021'!BF91</f>
        <v>5930.8440884998363</v>
      </c>
      <c r="P90" s="45">
        <f>'Quarterly Data 2001-2021'!BJ91</f>
        <v>8519.5853409607989</v>
      </c>
      <c r="Q90" s="46">
        <f>+'Quarterly Data 2001-2021'!BN91</f>
        <v>12068.468147511594</v>
      </c>
      <c r="R90" s="46">
        <f>+'Quarterly Data 2001-2021'!BR91</f>
        <v>16113.825238342812</v>
      </c>
      <c r="S90" s="45">
        <f>+'Quarterly Data 2001-2021'!BV91</f>
        <v>18596.100691792868</v>
      </c>
      <c r="T90" s="45">
        <f>+'Quarterly Data 2001-2021'!BZ91</f>
        <v>26725.620428963008</v>
      </c>
      <c r="U90" s="45">
        <f>+'Quarterly Data 2001-2021'!CD91</f>
        <v>34153.41361508242</v>
      </c>
      <c r="V90" s="88">
        <f t="shared" si="26"/>
        <v>0.32008875627799216</v>
      </c>
    </row>
    <row r="91" spans="1:22" x14ac:dyDescent="0.2">
      <c r="A91" s="10"/>
      <c r="B91" s="74"/>
      <c r="C91" s="28"/>
      <c r="D91" s="28"/>
      <c r="E91" s="28"/>
      <c r="F91" s="28"/>
      <c r="G91" s="28"/>
      <c r="H91" s="28"/>
      <c r="I91" s="28"/>
      <c r="J91" s="28"/>
      <c r="K91" s="28"/>
      <c r="L91" s="28"/>
      <c r="M91" s="28"/>
      <c r="N91" s="28"/>
      <c r="O91" s="28"/>
      <c r="P91" s="28"/>
      <c r="Q91" s="220"/>
      <c r="R91" s="220"/>
      <c r="S91" s="220"/>
      <c r="T91" s="220"/>
      <c r="U91" s="220"/>
      <c r="V91" s="34"/>
    </row>
    <row r="92" spans="1:22" x14ac:dyDescent="0.2">
      <c r="A92" s="395" t="s">
        <v>167</v>
      </c>
      <c r="B92" s="74"/>
      <c r="C92" s="28"/>
      <c r="D92" s="28"/>
      <c r="E92" s="28"/>
      <c r="F92" s="28"/>
      <c r="G92" s="28"/>
      <c r="H92" s="28"/>
      <c r="I92" s="28"/>
      <c r="J92" s="28"/>
      <c r="K92" s="28"/>
      <c r="L92" s="28"/>
      <c r="M92" s="28"/>
      <c r="N92" s="28"/>
      <c r="O92" s="28"/>
      <c r="P92" s="28"/>
      <c r="Q92" s="29"/>
      <c r="R92" s="29"/>
      <c r="S92" s="29"/>
      <c r="T92" s="29"/>
      <c r="U92" s="29"/>
      <c r="V92" s="34"/>
    </row>
    <row r="93" spans="1:22" x14ac:dyDescent="0.2">
      <c r="A93" s="416" t="s">
        <v>168</v>
      </c>
      <c r="B93" s="76" t="s">
        <v>50</v>
      </c>
      <c r="C93" s="37" t="s">
        <v>50</v>
      </c>
      <c r="D93" s="37" t="s">
        <v>50</v>
      </c>
      <c r="E93" s="37" t="s">
        <v>50</v>
      </c>
      <c r="F93" s="37" t="s">
        <v>50</v>
      </c>
      <c r="G93" s="37" t="s">
        <v>50</v>
      </c>
      <c r="H93" s="37" t="s">
        <v>50</v>
      </c>
      <c r="I93" s="37" t="s">
        <v>50</v>
      </c>
      <c r="J93" s="37" t="s">
        <v>50</v>
      </c>
      <c r="K93" s="37" t="s">
        <v>50</v>
      </c>
      <c r="L93" s="37" t="s">
        <v>50</v>
      </c>
      <c r="M93" s="37" t="s">
        <v>50</v>
      </c>
      <c r="N93" s="37" t="s">
        <v>50</v>
      </c>
      <c r="O93" s="37">
        <f>'Quarterly Data 2001-2021'!BF94</f>
        <v>82019.061029409946</v>
      </c>
      <c r="P93" s="37">
        <f>'Quarterly Data 2001-2021'!BJ94</f>
        <v>111208.95146228168</v>
      </c>
      <c r="Q93" s="38">
        <f>+'Quarterly Data 2001-2021'!BN94</f>
        <v>130339.15425019324</v>
      </c>
      <c r="R93" s="38">
        <f>+'Quarterly Data 2001-2021'!BR94</f>
        <v>157187.77352014344</v>
      </c>
      <c r="S93" s="38">
        <f>+'Quarterly Data 2001-2021'!BV94</f>
        <v>166362.10075204671</v>
      </c>
      <c r="T93" s="38">
        <f>+'Quarterly Data 2001-2021'!BZ94</f>
        <v>228251.45340364997</v>
      </c>
      <c r="U93" s="38">
        <f>+'Quarterly Data 2001-2021'!CD94</f>
        <v>327705.34571227297</v>
      </c>
      <c r="V93" s="42">
        <f t="shared" si="26"/>
        <v>0.24127713629829195</v>
      </c>
    </row>
    <row r="94" spans="1:22" x14ac:dyDescent="0.2">
      <c r="A94" s="417" t="s">
        <v>169</v>
      </c>
      <c r="B94" s="49" t="s">
        <v>50</v>
      </c>
      <c r="C94" s="45" t="s">
        <v>50</v>
      </c>
      <c r="D94" s="45" t="s">
        <v>50</v>
      </c>
      <c r="E94" s="45" t="s">
        <v>50</v>
      </c>
      <c r="F94" s="45" t="s">
        <v>50</v>
      </c>
      <c r="G94" s="45" t="s">
        <v>50</v>
      </c>
      <c r="H94" s="45" t="s">
        <v>50</v>
      </c>
      <c r="I94" s="45" t="s">
        <v>50</v>
      </c>
      <c r="J94" s="45" t="s">
        <v>50</v>
      </c>
      <c r="K94" s="45" t="s">
        <v>50</v>
      </c>
      <c r="L94" s="45" t="s">
        <v>50</v>
      </c>
      <c r="M94" s="45" t="s">
        <v>50</v>
      </c>
      <c r="N94" s="45" t="s">
        <v>50</v>
      </c>
      <c r="O94" s="37">
        <f>'Quarterly Data 2001-2021'!BF95</f>
        <v>60790.146991810048</v>
      </c>
      <c r="P94" s="37">
        <f>'Quarterly Data 2001-2021'!BJ95</f>
        <v>80613.59602131987</v>
      </c>
      <c r="Q94" s="38">
        <f>+'Quarterly Data 2001-2021'!BN95</f>
        <v>100916.58799842992</v>
      </c>
      <c r="R94" s="38">
        <f>+'Quarterly Data 2001-2021'!BR95</f>
        <v>115813.57226822867</v>
      </c>
      <c r="S94" s="38">
        <f>+'Quarterly Data 2001-2021'!BV95</f>
        <v>122021.51691237986</v>
      </c>
      <c r="T94" s="38">
        <f>+'Quarterly Data 2001-2021'!BZ95</f>
        <v>164495.6456089296</v>
      </c>
      <c r="U94" s="38">
        <f>+'Quarterly Data 2001-2021'!CD95</f>
        <v>221280.97164359046</v>
      </c>
      <c r="V94" s="88">
        <f t="shared" si="26"/>
        <v>0.22379071831365582</v>
      </c>
    </row>
    <row r="95" spans="1:22" x14ac:dyDescent="0.2">
      <c r="A95" s="417" t="s">
        <v>170</v>
      </c>
      <c r="B95" s="49" t="s">
        <v>50</v>
      </c>
      <c r="C95" s="45" t="s">
        <v>50</v>
      </c>
      <c r="D95" s="45" t="s">
        <v>50</v>
      </c>
      <c r="E95" s="45" t="s">
        <v>50</v>
      </c>
      <c r="F95" s="45" t="s">
        <v>50</v>
      </c>
      <c r="G95" s="45" t="s">
        <v>50</v>
      </c>
      <c r="H95" s="45" t="s">
        <v>50</v>
      </c>
      <c r="I95" s="45" t="s">
        <v>50</v>
      </c>
      <c r="J95" s="45" t="s">
        <v>50</v>
      </c>
      <c r="K95" s="45" t="s">
        <v>50</v>
      </c>
      <c r="L95" s="45" t="s">
        <v>50</v>
      </c>
      <c r="M95" s="45" t="s">
        <v>50</v>
      </c>
      <c r="N95" s="45" t="s">
        <v>50</v>
      </c>
      <c r="O95" s="37">
        <f>'Quarterly Data 2001-2021'!BF96</f>
        <v>4466.5122217599965</v>
      </c>
      <c r="P95" s="37">
        <f>'Quarterly Data 2001-2021'!BJ96</f>
        <v>6366.6468752899973</v>
      </c>
      <c r="Q95" s="38">
        <f>+'Quarterly Data 2001-2021'!BN96</f>
        <v>7889.0247029300044</v>
      </c>
      <c r="R95" s="38">
        <f>+'Quarterly Data 2001-2021'!BR96</f>
        <v>9929.6592938000449</v>
      </c>
      <c r="S95" s="38">
        <f>+'Quarterly Data 2001-2021'!BV96</f>
        <v>11595.686177000007</v>
      </c>
      <c r="T95" s="38">
        <f>+'Quarterly Data 2001-2021'!BZ96</f>
        <v>14971.624459720008</v>
      </c>
      <c r="U95" s="38">
        <f>+'Quarterly Data 2001-2021'!CD96</f>
        <v>21522.825851180045</v>
      </c>
      <c r="V95" s="88">
        <f t="shared" si="26"/>
        <v>0.27584438267594713</v>
      </c>
    </row>
    <row r="96" spans="1:22" x14ac:dyDescent="0.2">
      <c r="A96" s="397" t="s">
        <v>204</v>
      </c>
      <c r="B96" s="55" t="s">
        <v>50</v>
      </c>
      <c r="C96" s="52" t="s">
        <v>50</v>
      </c>
      <c r="D96" s="52" t="s">
        <v>50</v>
      </c>
      <c r="E96" s="52" t="s">
        <v>50</v>
      </c>
      <c r="F96" s="52" t="s">
        <v>50</v>
      </c>
      <c r="G96" s="52" t="s">
        <v>50</v>
      </c>
      <c r="H96" s="52" t="s">
        <v>50</v>
      </c>
      <c r="I96" s="52" t="s">
        <v>50</v>
      </c>
      <c r="J96" s="52" t="s">
        <v>50</v>
      </c>
      <c r="K96" s="52" t="s">
        <v>50</v>
      </c>
      <c r="L96" s="52" t="s">
        <v>50</v>
      </c>
      <c r="M96" s="52" t="s">
        <v>50</v>
      </c>
      <c r="N96" s="52" t="s">
        <v>50</v>
      </c>
      <c r="O96" s="52">
        <f t="shared" ref="O96:T96" si="28">SUM(O93:O95)</f>
        <v>147275.72024297999</v>
      </c>
      <c r="P96" s="52">
        <f t="shared" si="28"/>
        <v>198189.19435889155</v>
      </c>
      <c r="Q96" s="52">
        <f t="shared" si="28"/>
        <v>239144.76695155317</v>
      </c>
      <c r="R96" s="52">
        <f t="shared" si="28"/>
        <v>282931.00508217217</v>
      </c>
      <c r="S96" s="52">
        <f t="shared" si="28"/>
        <v>299979.30384142656</v>
      </c>
      <c r="T96" s="52">
        <f t="shared" si="28"/>
        <v>407718.72347229952</v>
      </c>
      <c r="U96" s="52">
        <f t="shared" ref="U96" si="29">SUM(U93:U95)</f>
        <v>570509.14320704341</v>
      </c>
      <c r="V96" s="88">
        <f t="shared" si="26"/>
        <v>0.23548229839244206</v>
      </c>
    </row>
    <row r="97" spans="1:24" x14ac:dyDescent="0.2">
      <c r="A97" s="10"/>
      <c r="B97" s="74"/>
      <c r="C97" s="28"/>
      <c r="D97" s="28"/>
      <c r="E97" s="28"/>
      <c r="F97" s="28"/>
      <c r="G97" s="28"/>
      <c r="H97" s="28"/>
      <c r="I97" s="28"/>
      <c r="J97" s="28"/>
      <c r="K97" s="28"/>
      <c r="L97" s="28"/>
      <c r="M97" s="28"/>
      <c r="N97" s="28"/>
      <c r="O97" s="28"/>
      <c r="P97" s="28"/>
      <c r="Q97" s="29"/>
      <c r="R97" s="29"/>
      <c r="S97" s="29"/>
      <c r="T97" s="29"/>
      <c r="U97" s="29"/>
      <c r="V97" s="34"/>
    </row>
    <row r="98" spans="1:24" x14ac:dyDescent="0.2">
      <c r="A98" s="395" t="s">
        <v>171</v>
      </c>
      <c r="B98" s="74"/>
      <c r="C98" s="28"/>
      <c r="D98" s="28"/>
      <c r="E98" s="28"/>
      <c r="F98" s="28"/>
      <c r="G98" s="28"/>
      <c r="H98" s="28"/>
      <c r="I98" s="28"/>
      <c r="J98" s="28"/>
      <c r="K98" s="28"/>
      <c r="L98" s="28"/>
      <c r="M98" s="28"/>
      <c r="N98" s="28"/>
      <c r="O98" s="28"/>
      <c r="P98" s="28"/>
      <c r="Q98" s="29"/>
      <c r="R98" s="29"/>
      <c r="S98" s="29"/>
      <c r="T98" s="29"/>
      <c r="U98" s="29"/>
      <c r="V98" s="34"/>
    </row>
    <row r="99" spans="1:24" x14ac:dyDescent="0.2">
      <c r="A99" s="416" t="s">
        <v>172</v>
      </c>
      <c r="B99" s="76">
        <f>+'Quarterly Data 2001-2021'!F100</f>
        <v>214.4</v>
      </c>
      <c r="C99" s="37">
        <f>+'Quarterly Data 2001-2021'!J100</f>
        <v>247.9</v>
      </c>
      <c r="D99" s="37">
        <f>+'Quarterly Data 2001-2021'!N100</f>
        <v>491.2</v>
      </c>
      <c r="E99" s="37">
        <f>+'Quarterly Data 2001-2021'!R100</f>
        <v>1100</v>
      </c>
      <c r="F99" s="37">
        <f>+'Quarterly Data 2001-2021'!V100</f>
        <v>2052.4</v>
      </c>
      <c r="G99" s="37">
        <f>+'Quarterly Data 2001-2021'!Z100</f>
        <v>2290.3000000000002</v>
      </c>
      <c r="H99" s="37">
        <f>'Quarterly Data 2001-2021'!AD100</f>
        <v>2301</v>
      </c>
      <c r="I99" s="37">
        <f>'Quarterly Data 2001-2021'!AH100</f>
        <v>1253</v>
      </c>
      <c r="J99" s="37">
        <f>'Quarterly Data 2001-2021'!AL100</f>
        <v>3125</v>
      </c>
      <c r="K99" s="37">
        <f>'Quarterly Data 2001-2021'!AP100</f>
        <v>3861</v>
      </c>
      <c r="L99" s="37">
        <f>'Quarterly Data 2001-2021'!AT100</f>
        <v>2557</v>
      </c>
      <c r="M99" s="37">
        <f>'Quarterly Data 2001-2021'!AX100</f>
        <v>2861</v>
      </c>
      <c r="N99" s="37">
        <f>'Quarterly Data 2001-2021'!BB100</f>
        <v>3286</v>
      </c>
      <c r="O99" s="37">
        <f>'Quarterly Data 2001-2021'!BF100</f>
        <v>5348.72024297998</v>
      </c>
      <c r="P99" s="37">
        <f>'Quarterly Data 2001-2021'!BJ100</f>
        <v>6540.2121438000004</v>
      </c>
      <c r="Q99" s="38">
        <f>+'Quarterly Data 2001-2021'!BN100</f>
        <v>8183</v>
      </c>
      <c r="R99" s="38">
        <f>+'Quarterly Data 2001-2021'!BR100</f>
        <v>9514.5441704100012</v>
      </c>
      <c r="S99" s="38">
        <f>+'Quarterly Data 2001-2021'!BV100</f>
        <v>10350.32</v>
      </c>
      <c r="T99" s="38">
        <f>+'Quarterly Data 2001-2021'!BZ100</f>
        <v>13115.988547999999</v>
      </c>
      <c r="U99" s="38">
        <f>+'Quarterly Data 2001-2021'!CD100</f>
        <v>16298.1547474</v>
      </c>
      <c r="V99" s="42">
        <f t="shared" si="26"/>
        <v>0.20035393432635829</v>
      </c>
    </row>
    <row r="100" spans="1:24" x14ac:dyDescent="0.2">
      <c r="A100" s="417" t="s">
        <v>174</v>
      </c>
      <c r="B100" s="49">
        <f>+'Quarterly Data 2001-2021'!F101</f>
        <v>214.4</v>
      </c>
      <c r="C100" s="45">
        <f>+'Quarterly Data 2001-2021'!J101</f>
        <v>247.9</v>
      </c>
      <c r="D100" s="45">
        <f>+'Quarterly Data 2001-2021'!N101</f>
        <v>491.2</v>
      </c>
      <c r="E100" s="45">
        <f>+'Quarterly Data 2001-2021'!R101</f>
        <v>1100</v>
      </c>
      <c r="F100" s="45">
        <f>+'Quarterly Data 2001-2021'!V101</f>
        <v>2052.4</v>
      </c>
      <c r="G100" s="45">
        <f>+'Quarterly Data 2001-2021'!Z101</f>
        <v>2290.3000000000002</v>
      </c>
      <c r="H100" s="45">
        <f>'Quarterly Data 2001-2021'!AD101</f>
        <v>2301</v>
      </c>
      <c r="I100" s="45">
        <f>'Quarterly Data 2001-2021'!AH101</f>
        <v>1253</v>
      </c>
      <c r="J100" s="45">
        <f>'Quarterly Data 2001-2021'!AL101</f>
        <v>3125</v>
      </c>
      <c r="K100" s="45">
        <f>'Quarterly Data 2001-2021'!AP101</f>
        <v>3861</v>
      </c>
      <c r="L100" s="45">
        <f>'Quarterly Data 2001-2021'!AT101</f>
        <v>2557</v>
      </c>
      <c r="M100" s="45">
        <f>'Quarterly Data 2001-2021'!AX101</f>
        <v>2861</v>
      </c>
      <c r="N100" s="45">
        <f>'Quarterly Data 2001-2021'!BB101</f>
        <v>3192</v>
      </c>
      <c r="O100" s="45">
        <f>'Quarterly Data 2001-2021'!BF101</f>
        <v>3334.72024297998</v>
      </c>
      <c r="P100" s="45">
        <f>'Quarterly Data 2001-2021'!BJ101</f>
        <v>3821.5083425100011</v>
      </c>
      <c r="Q100" s="46">
        <f>+'Quarterly Data 2001-2021'!BN101</f>
        <v>4127</v>
      </c>
      <c r="R100" s="46">
        <f>+'Quarterly Data 2001-2021'!BR101</f>
        <v>4230.8201392299952</v>
      </c>
      <c r="S100" s="38">
        <f>+'Quarterly Data 2001-2021'!BV101</f>
        <v>4366.6200050699999</v>
      </c>
      <c r="T100" s="38">
        <f>+'Quarterly Data 2001-2021'!BZ101</f>
        <v>5164.35258213</v>
      </c>
      <c r="U100" s="38">
        <f>+'Quarterly Data 2001-2021'!CD101</f>
        <v>6973.92203865999</v>
      </c>
      <c r="V100" s="42">
        <f t="shared" si="26"/>
        <v>0.12784249825267047</v>
      </c>
    </row>
    <row r="101" spans="1:24" x14ac:dyDescent="0.2">
      <c r="A101" s="417" t="s">
        <v>175</v>
      </c>
      <c r="B101" s="49" t="str">
        <f>'Quarterly Data 2001-2021'!F102</f>
        <v>-</v>
      </c>
      <c r="C101" s="45" t="str">
        <f>'Quarterly Data 2001-2021'!J102</f>
        <v>-</v>
      </c>
      <c r="D101" s="45" t="str">
        <f>'Quarterly Data 2001-2021'!N102</f>
        <v>-</v>
      </c>
      <c r="E101" s="45" t="str">
        <f>'Quarterly Data 2001-2021'!R102</f>
        <v>-</v>
      </c>
      <c r="F101" s="45" t="str">
        <f>'Quarterly Data 2001-2021'!V102</f>
        <v>-</v>
      </c>
      <c r="G101" s="45" t="str">
        <f>'Quarterly Data 2001-2021'!Z102</f>
        <v>-</v>
      </c>
      <c r="H101" s="45" t="str">
        <f>'Quarterly Data 2001-2021'!AD102</f>
        <v>-</v>
      </c>
      <c r="I101" s="45" t="str">
        <f>'Quarterly Data 2001-2021'!AH102</f>
        <v>-</v>
      </c>
      <c r="J101" s="45" t="str">
        <f>'Quarterly Data 2001-2021'!AL102</f>
        <v>-</v>
      </c>
      <c r="K101" s="45" t="str">
        <f>'Quarterly Data 2001-2021'!AM102</f>
        <v>-</v>
      </c>
      <c r="L101" s="45" t="str">
        <f>'Quarterly Data 2001-2021'!AN102</f>
        <v>-</v>
      </c>
      <c r="M101" s="45" t="str">
        <f>'Quarterly Data 2001-2021'!AO102</f>
        <v>-</v>
      </c>
      <c r="N101" s="45">
        <f>'Quarterly Data 2001-2021'!BB102</f>
        <v>94</v>
      </c>
      <c r="O101" s="45">
        <f>'Quarterly Data 2001-2021'!BF102</f>
        <v>2014</v>
      </c>
      <c r="P101" s="45">
        <f>'Quarterly Data 2001-2021'!BJ102</f>
        <v>2718.7038012899993</v>
      </c>
      <c r="Q101" s="46">
        <f>+'Quarterly Data 2001-2021'!BN102</f>
        <v>4056</v>
      </c>
      <c r="R101" s="46">
        <f>+'Quarterly Data 2001-2021'!BR102</f>
        <v>5283.724031180006</v>
      </c>
      <c r="S101" s="38">
        <f>+'Quarterly Data 2001-2021'!BV102</f>
        <v>5983.6999949299998</v>
      </c>
      <c r="T101" s="38">
        <f>+'Quarterly Data 2001-2021'!BZ102</f>
        <v>7951.6359658700003</v>
      </c>
      <c r="U101" s="38">
        <f>+'Quarterly Data 2001-2021'!CD102</f>
        <v>9324.2327087400099</v>
      </c>
      <c r="V101" s="88">
        <f t="shared" si="26"/>
        <v>0.27952931949735849</v>
      </c>
    </row>
    <row r="102" spans="1:24" x14ac:dyDescent="0.2">
      <c r="A102" s="417" t="s">
        <v>173</v>
      </c>
      <c r="B102" s="49" t="str">
        <f>'Quarterly Data 2001-2021'!F103</f>
        <v>-</v>
      </c>
      <c r="C102" s="45" t="str">
        <f>'Quarterly Data 2001-2021'!J103</f>
        <v>-</v>
      </c>
      <c r="D102" s="45" t="str">
        <f>'Quarterly Data 2001-2021'!N103</f>
        <v>-</v>
      </c>
      <c r="E102" s="45" t="str">
        <f>'Quarterly Data 2001-2021'!R103</f>
        <v>-</v>
      </c>
      <c r="F102" s="45" t="str">
        <f>'Quarterly Data 2001-2021'!V103</f>
        <v>-</v>
      </c>
      <c r="G102" s="45" t="str">
        <f>'Quarterly Data 2001-2021'!Z103</f>
        <v>-</v>
      </c>
      <c r="H102" s="45" t="str">
        <f>'Quarterly Data 2001-2021'!AD103</f>
        <v>-</v>
      </c>
      <c r="I102" s="45" t="str">
        <f>'Quarterly Data 2001-2021'!AH103</f>
        <v>-</v>
      </c>
      <c r="J102" s="45" t="str">
        <f>'Quarterly Data 2001-2021'!AL103</f>
        <v>-</v>
      </c>
      <c r="K102" s="45" t="str">
        <f>'Quarterly Data 2001-2021'!AM103</f>
        <v>-</v>
      </c>
      <c r="L102" s="45" t="str">
        <f>'Quarterly Data 2001-2021'!AN103</f>
        <v>-</v>
      </c>
      <c r="M102" s="45" t="str">
        <f>'Quarterly Data 2001-2021'!AO103</f>
        <v>-</v>
      </c>
      <c r="N102" s="45" t="str">
        <f>'Quarterly Data 2001-2021'!BB103</f>
        <v>-</v>
      </c>
      <c r="O102" s="45" t="str">
        <f>'Quarterly Data 2001-2021'!BF103</f>
        <v>-</v>
      </c>
      <c r="P102" s="45" t="str">
        <f>'Quarterly Data 2001-2021'!BJ103</f>
        <v>-</v>
      </c>
      <c r="Q102" s="46" t="str">
        <f>+'Quarterly Data 2001-2021'!BN103</f>
        <v>-</v>
      </c>
      <c r="R102" s="46" t="str">
        <f>+'Quarterly Data 2001-2021'!BR103</f>
        <v>-</v>
      </c>
      <c r="S102" s="38">
        <f>+'Quarterly Data 2001-2021'!BV103</f>
        <v>4209.5469830000002</v>
      </c>
      <c r="T102" s="38">
        <f>+'Quarterly Data 2001-2021'!BZ103</f>
        <v>9843.8792489999996</v>
      </c>
      <c r="U102" s="38">
        <f>+'Quarterly Data 2001-2021'!CD103</f>
        <v>13556.053301</v>
      </c>
      <c r="V102" s="88" t="s">
        <v>213</v>
      </c>
    </row>
    <row r="103" spans="1:24" s="425" customFormat="1" x14ac:dyDescent="0.2">
      <c r="A103" s="419" t="s">
        <v>205</v>
      </c>
      <c r="B103" s="198">
        <f>+'Quarterly Data 2001-2021'!F104</f>
        <v>214.4</v>
      </c>
      <c r="C103" s="192">
        <f>+'Quarterly Data 2001-2021'!J104</f>
        <v>247.9</v>
      </c>
      <c r="D103" s="192">
        <f>+'Quarterly Data 2001-2021'!N104</f>
        <v>491.2</v>
      </c>
      <c r="E103" s="192">
        <f>+'Quarterly Data 2001-2021'!R104</f>
        <v>1100</v>
      </c>
      <c r="F103" s="192">
        <f>+'Quarterly Data 2001-2021'!V104</f>
        <v>2052.4</v>
      </c>
      <c r="G103" s="192">
        <f>+'Quarterly Data 2001-2021'!Z104</f>
        <v>2290.3000000000002</v>
      </c>
      <c r="H103" s="192">
        <f>'Quarterly Data 2001-2021'!AD104</f>
        <v>2301</v>
      </c>
      <c r="I103" s="192">
        <f>'Quarterly Data 2001-2021'!AH104</f>
        <v>1253</v>
      </c>
      <c r="J103" s="192">
        <f>'Quarterly Data 2001-2021'!AL104</f>
        <v>3125</v>
      </c>
      <c r="K103" s="192">
        <f>'Quarterly Data 2001-2021'!AP104</f>
        <v>3861</v>
      </c>
      <c r="L103" s="192">
        <f>'Quarterly Data 2001-2021'!AT104</f>
        <v>2557</v>
      </c>
      <c r="M103" s="192">
        <f>'Quarterly Data 2001-2021'!AX104</f>
        <v>2861</v>
      </c>
      <c r="N103" s="192">
        <f>'Quarterly Data 2001-2021'!BB104</f>
        <v>3286</v>
      </c>
      <c r="O103" s="192">
        <f>'Quarterly Data 2001-2021'!BF104</f>
        <v>5348.72024297998</v>
      </c>
      <c r="P103" s="192">
        <f>'Quarterly Data 2001-2021'!BJ104</f>
        <v>6540.2121438000004</v>
      </c>
      <c r="Q103" s="191">
        <f>+'Quarterly Data 2001-2021'!BN104</f>
        <v>8183</v>
      </c>
      <c r="R103" s="191">
        <f>+'Quarterly Data 2001-2021'!BR104</f>
        <v>9514.5441704100012</v>
      </c>
      <c r="S103" s="191">
        <f>+'Quarterly Data 2001-2021'!BV104</f>
        <v>14559.866983</v>
      </c>
      <c r="T103" s="191">
        <f>+'Quarterly Data 2001-2021'!BZ104</f>
        <v>22959.867796999999</v>
      </c>
      <c r="U103" s="191">
        <f>+'Quarterly Data 2001-2021'!CD104</f>
        <v>29854.2080484</v>
      </c>
      <c r="V103" s="194">
        <f t="shared" si="26"/>
        <v>0.35482357112606322</v>
      </c>
    </row>
    <row r="104" spans="1:24" x14ac:dyDescent="0.2">
      <c r="A104" s="10"/>
      <c r="B104" s="74"/>
      <c r="C104" s="28"/>
      <c r="D104" s="28"/>
      <c r="E104" s="28"/>
      <c r="F104" s="28"/>
      <c r="G104" s="28"/>
      <c r="H104" s="28"/>
      <c r="I104" s="28"/>
      <c r="J104" s="28"/>
      <c r="K104" s="28"/>
      <c r="L104" s="28"/>
      <c r="M104" s="28"/>
      <c r="N104" s="28"/>
      <c r="O104" s="28"/>
      <c r="P104" s="99"/>
      <c r="Q104" s="110"/>
      <c r="R104" s="110"/>
      <c r="S104" s="110"/>
      <c r="T104" s="110"/>
      <c r="U104" s="110"/>
      <c r="V104" s="34"/>
    </row>
    <row r="105" spans="1:24" x14ac:dyDescent="0.2">
      <c r="A105" s="237" t="s">
        <v>134</v>
      </c>
      <c r="B105" s="74"/>
      <c r="C105" s="28"/>
      <c r="D105" s="28"/>
      <c r="E105" s="28"/>
      <c r="F105" s="28"/>
      <c r="G105" s="28"/>
      <c r="H105" s="28"/>
      <c r="I105" s="28"/>
      <c r="J105" s="28"/>
      <c r="K105" s="28"/>
      <c r="L105" s="28"/>
      <c r="M105" s="28"/>
      <c r="N105" s="28"/>
      <c r="O105" s="28"/>
      <c r="P105" s="99"/>
      <c r="Q105" s="110"/>
      <c r="R105" s="110"/>
      <c r="S105" s="110"/>
      <c r="T105" s="110"/>
      <c r="U105" s="110"/>
      <c r="V105" s="34"/>
    </row>
    <row r="106" spans="1:24" x14ac:dyDescent="0.2">
      <c r="A106" s="35" t="s">
        <v>247</v>
      </c>
      <c r="B106" s="148">
        <f t="shared" ref="B106:I106" si="30">B99/(B84-B86)</f>
        <v>0.38217468805704102</v>
      </c>
      <c r="C106" s="148">
        <f t="shared" si="30"/>
        <v>0.36073923166472643</v>
      </c>
      <c r="D106" s="148">
        <f t="shared" si="30"/>
        <v>0.44356149539461798</v>
      </c>
      <c r="E106" s="148">
        <f t="shared" si="30"/>
        <v>0.81007437955666828</v>
      </c>
      <c r="F106" s="148">
        <f t="shared" si="30"/>
        <v>0.89722404371584707</v>
      </c>
      <c r="G106" s="148">
        <f t="shared" si="30"/>
        <v>0.50383879270519394</v>
      </c>
      <c r="H106" s="148">
        <f t="shared" si="30"/>
        <v>0.36122448979591837</v>
      </c>
      <c r="I106" s="148">
        <f t="shared" si="30"/>
        <v>0.17015209125475286</v>
      </c>
      <c r="J106" s="148">
        <f>J99/(J84-J86)</f>
        <v>0.37796323173681662</v>
      </c>
      <c r="K106" s="148">
        <f t="shared" ref="K106:T106" si="31">K99/(K84-(K85+K86))</f>
        <v>0.38005709223348755</v>
      </c>
      <c r="L106" s="148">
        <f t="shared" si="31"/>
        <v>0.2421401515151515</v>
      </c>
      <c r="M106" s="148">
        <f t="shared" si="31"/>
        <v>0.27868692772257941</v>
      </c>
      <c r="N106" s="148">
        <f t="shared" si="31"/>
        <v>0.27190732312784444</v>
      </c>
      <c r="O106" s="148">
        <f t="shared" si="31"/>
        <v>0.3556847680161091</v>
      </c>
      <c r="P106" s="148">
        <f t="shared" si="31"/>
        <v>0.30076001723933604</v>
      </c>
      <c r="Q106" s="148">
        <f t="shared" si="31"/>
        <v>0.32431039949270768</v>
      </c>
      <c r="R106" s="148">
        <f t="shared" si="31"/>
        <v>0.31766352059710096</v>
      </c>
      <c r="S106" s="148">
        <f t="shared" si="31"/>
        <v>0.27736174037261524</v>
      </c>
      <c r="T106" s="148">
        <f t="shared" si="31"/>
        <v>0.33804502919098811</v>
      </c>
      <c r="U106" s="148">
        <f>U99/(U84-(U85+U86))</f>
        <v>0.33822838663829558</v>
      </c>
      <c r="V106" s="42">
        <f t="shared" ref="V106:V107" si="32">+((U106/P106)^(1/5))-1</f>
        <v>2.3759607869014987E-2</v>
      </c>
      <c r="X106" s="469"/>
    </row>
    <row r="107" spans="1:24" x14ac:dyDescent="0.2">
      <c r="A107" s="35" t="s">
        <v>212</v>
      </c>
      <c r="B107" s="151">
        <f t="shared" ref="B107:T107" si="33">+B84/B87</f>
        <v>0.14290040063356005</v>
      </c>
      <c r="C107" s="148">
        <f t="shared" si="33"/>
        <v>0.15241135695177288</v>
      </c>
      <c r="D107" s="148">
        <f t="shared" si="33"/>
        <v>0.12736849424608004</v>
      </c>
      <c r="E107" s="148">
        <f t="shared" si="33"/>
        <v>0.10206334527800255</v>
      </c>
      <c r="F107" s="148">
        <f t="shared" si="33"/>
        <v>0.11065438742371232</v>
      </c>
      <c r="G107" s="148">
        <f t="shared" si="33"/>
        <v>0.11599637120068886</v>
      </c>
      <c r="H107" s="148">
        <f t="shared" si="33"/>
        <v>0.1468830414211007</v>
      </c>
      <c r="I107" s="148">
        <f t="shared" si="33"/>
        <v>0.22307886039653055</v>
      </c>
      <c r="J107" s="148">
        <f t="shared" si="33"/>
        <v>0.13993449544417366</v>
      </c>
      <c r="K107" s="148">
        <f t="shared" si="33"/>
        <v>0.13668805085633784</v>
      </c>
      <c r="L107" s="148">
        <f t="shared" si="33"/>
        <v>0.1912557630694694</v>
      </c>
      <c r="M107" s="148">
        <f t="shared" si="33"/>
        <v>0.17173984143274426</v>
      </c>
      <c r="N107" s="148">
        <f t="shared" si="33"/>
        <v>0.15185469738693555</v>
      </c>
      <c r="O107" s="148">
        <f t="shared" si="33"/>
        <v>0.15367645634011973</v>
      </c>
      <c r="P107" s="148">
        <f t="shared" si="33"/>
        <v>0.15280049740981941</v>
      </c>
      <c r="Q107" s="148">
        <f t="shared" si="33"/>
        <v>0.14614564385623785</v>
      </c>
      <c r="R107" s="148">
        <f t="shared" si="33"/>
        <v>0.15285498182523169</v>
      </c>
      <c r="S107" s="148">
        <f t="shared" si="33"/>
        <v>0.19299147355184201</v>
      </c>
      <c r="T107" s="148">
        <f t="shared" si="33"/>
        <v>0.15395414975323699</v>
      </c>
      <c r="U107" s="148">
        <f>+U84/U87</f>
        <v>0.13593362801537026</v>
      </c>
      <c r="V107" s="42">
        <f t="shared" si="32"/>
        <v>-2.3121777417453915E-2</v>
      </c>
    </row>
    <row r="108" spans="1:24" x14ac:dyDescent="0.2">
      <c r="A108" s="43" t="s">
        <v>114</v>
      </c>
      <c r="B108" s="120">
        <f t="shared" ref="B108:U108" si="34">B41/B99</f>
        <v>0</v>
      </c>
      <c r="C108" s="119">
        <f t="shared" si="34"/>
        <v>-4.0338846308995562E-4</v>
      </c>
      <c r="D108" s="119">
        <f t="shared" si="34"/>
        <v>0</v>
      </c>
      <c r="E108" s="119">
        <f t="shared" si="34"/>
        <v>0</v>
      </c>
      <c r="F108" s="119">
        <f t="shared" si="34"/>
        <v>4.8723445722081464E-5</v>
      </c>
      <c r="G108" s="119">
        <f t="shared" si="34"/>
        <v>0</v>
      </c>
      <c r="H108" s="119">
        <f t="shared" si="34"/>
        <v>-6.3016079965232509E-4</v>
      </c>
      <c r="I108" s="119">
        <f t="shared" si="34"/>
        <v>0</v>
      </c>
      <c r="J108" s="119">
        <f t="shared" si="34"/>
        <v>0</v>
      </c>
      <c r="K108" s="119">
        <f t="shared" si="34"/>
        <v>0</v>
      </c>
      <c r="L108" s="119">
        <f t="shared" si="34"/>
        <v>-2.3464998044583495E-3</v>
      </c>
      <c r="M108" s="119">
        <f t="shared" si="34"/>
        <v>-3.4952813701502968E-4</v>
      </c>
      <c r="N108" s="119">
        <f t="shared" si="34"/>
        <v>-3.0432136335970786E-4</v>
      </c>
      <c r="O108" s="119">
        <f t="shared" si="34"/>
        <v>7.4784244048842693E-5</v>
      </c>
      <c r="P108" s="119">
        <f t="shared" si="34"/>
        <v>-3.2974771346590583E-5</v>
      </c>
      <c r="Q108" s="119">
        <f t="shared" si="34"/>
        <v>-6.1712697054869847E-5</v>
      </c>
      <c r="R108" s="119">
        <f t="shared" si="34"/>
        <v>4.1020146946585851E-5</v>
      </c>
      <c r="S108" s="119">
        <f t="shared" si="34"/>
        <v>-1.1208765526090015E-4</v>
      </c>
      <c r="T108" s="119">
        <f t="shared" si="34"/>
        <v>2.5144944187244718E-5</v>
      </c>
      <c r="U108" s="119">
        <f t="shared" si="34"/>
        <v>-2.3753852445275138E-4</v>
      </c>
      <c r="V108" s="42" t="s">
        <v>213</v>
      </c>
    </row>
    <row r="109" spans="1:24" x14ac:dyDescent="0.2">
      <c r="A109" s="43" t="s">
        <v>46</v>
      </c>
      <c r="B109" s="125">
        <f>SUM('Quarterly Data 2001-2021'!C110:F110)/4</f>
        <v>2.0049999999999998E-2</v>
      </c>
      <c r="C109" s="122">
        <f>SUM('Quarterly Data 2001-2021'!G110:J110)/4</f>
        <v>1.44E-2</v>
      </c>
      <c r="D109" s="122">
        <f>SUM('Quarterly Data 2001-2021'!K110:N110)/4</f>
        <v>7.2250000000000005E-3</v>
      </c>
      <c r="E109" s="122">
        <f>SUM('Quarterly Data 2001-2021'!O110:R110)/4</f>
        <v>4.45E-3</v>
      </c>
      <c r="F109" s="122">
        <f>SUM('Quarterly Data 2001-2021'!S110:V110)/4</f>
        <v>4.45E-3</v>
      </c>
      <c r="G109" s="122">
        <f>SUM('Quarterly Data 2001-2021'!W110:Z110)/4</f>
        <v>8.9999999999999993E-3</v>
      </c>
      <c r="H109" s="122">
        <f>SUM('Quarterly Data 2001-2021'!AA110:AD110)/4</f>
        <v>1.985E-2</v>
      </c>
      <c r="I109" s="122">
        <f>SUM('Quarterly Data 2001-2021'!AE110:AH110)/4</f>
        <v>2.7775000000000001E-2</v>
      </c>
      <c r="J109" s="122">
        <f>SUM('Quarterly Data 2001-2021'!AI110:AL110)/4</f>
        <v>2.7875E-3</v>
      </c>
      <c r="K109" s="122">
        <f>SUM('Quarterly Data 2001-2021'!AM110:AP110)/4</f>
        <v>1.9624999999999998E-3</v>
      </c>
      <c r="L109" s="122">
        <f>SUM('Quarterly Data 2001-2021'!AQ110:AT110)/4</f>
        <v>7.7749999999999989E-3</v>
      </c>
      <c r="M109" s="122">
        <f>SUM('Quarterly Data 2001-2021'!AU110:AX110)/4</f>
        <v>6.043414515127318E-3</v>
      </c>
      <c r="N109" s="122">
        <f>SUM('Quarterly Data 2001-2021'!AY110:BB110)/4</f>
        <v>2.5276834369484368E-3</v>
      </c>
      <c r="O109" s="122">
        <f>SUM('Quarterly Data 2001-2021'!BC110:BF110)/4</f>
        <v>7.8615239419629304E-4</v>
      </c>
      <c r="P109" s="122">
        <f>SUM('Quarterly Data 2001-2021'!BG110:BJ110)/4</f>
        <v>1.1882958497323518E-5</v>
      </c>
      <c r="Q109" s="122">
        <f>SUM('Quarterly Data 2001-2021'!BK110:BN110)/4</f>
        <v>4.8611945240560678E-6</v>
      </c>
      <c r="R109" s="122">
        <f>SUM('Quarterly Data 2001-2021'!BO110:BR110)/4</f>
        <v>-8.1318077336326148E-6</v>
      </c>
      <c r="S109" s="122">
        <f>SUM('Quarterly Data 2001-2021'!BS110:BV110)/4</f>
        <v>-1.2456902432949319E-5</v>
      </c>
      <c r="T109" s="122">
        <f>SUM('Quarterly Data 2001-2021'!BW110:BZ110)/4</f>
        <v>5.7951851417259752E-7</v>
      </c>
      <c r="U109" s="122">
        <f>SUM('Quarterly Data 2001-2021'!CA110:CD110)/4</f>
        <v>-8.9163577853329792E-6</v>
      </c>
      <c r="V109" s="42" t="s">
        <v>213</v>
      </c>
    </row>
    <row r="110" spans="1:24" x14ac:dyDescent="0.2">
      <c r="A110" s="104" t="s">
        <v>121</v>
      </c>
      <c r="B110" s="216">
        <f>SUM('Quarterly Data 2001-2021'!C111:F111)/4</f>
        <v>9.8850000000000007E-2</v>
      </c>
      <c r="C110" s="213">
        <f>SUM('Quarterly Data 2001-2021'!G111:J111)/4</f>
        <v>8.8224999999999998E-2</v>
      </c>
      <c r="D110" s="213">
        <f>SUM('Quarterly Data 2001-2021'!K111:N111)/4</f>
        <v>7.2950000000000001E-2</v>
      </c>
      <c r="E110" s="213">
        <f>SUM('Quarterly Data 2001-2021'!O111:R111)/4</f>
        <v>5.6424999999999996E-2</v>
      </c>
      <c r="F110" s="213">
        <f>SUM('Quarterly Data 2001-2021'!S111:V111)/4</f>
        <v>4.8850000000000005E-2</v>
      </c>
      <c r="G110" s="213">
        <f>SUM('Quarterly Data 2001-2021'!W111:Z111)/4</f>
        <v>5.3525000000000003E-2</v>
      </c>
      <c r="H110" s="213">
        <f>SUM('Quarterly Data 2001-2021'!AA111:AD111)/4</f>
        <v>6.2975000000000003E-2</v>
      </c>
      <c r="I110" s="213">
        <f>SUM('Quarterly Data 2001-2021'!AE111:AH111)/4</f>
        <v>6.8174999999999999E-2</v>
      </c>
      <c r="J110" s="213">
        <f>SUM('Quarterly Data 2001-2021'!AI111:AL111)/4</f>
        <v>3.8224999999999995E-2</v>
      </c>
      <c r="K110" s="213">
        <f>SUM('Quarterly Data 2001-2021'!AM111:AP111)/4</f>
        <v>3.4749999999999996E-2</v>
      </c>
      <c r="L110" s="213">
        <f>SUM('Quarterly Data 2001-2021'!AQ111:AT111)/4</f>
        <v>4.847499999999999E-2</v>
      </c>
      <c r="M110" s="213">
        <f>SUM('Quarterly Data 2001-2021'!AU111:AX111)/4</f>
        <v>4.9385626884199327E-2</v>
      </c>
      <c r="N110" s="213">
        <f>SUM('Quarterly Data 2001-2021'!AY111:BB111)/4</f>
        <v>4.0134687759174933E-2</v>
      </c>
      <c r="O110" s="213">
        <f>SUM('Quarterly Data 2001-2021'!BC111:BF111)/4</f>
        <v>3.1623071143336255E-2</v>
      </c>
      <c r="P110" s="213">
        <f>SUM('Quarterly Data 2001-2021'!BG111:BJ111)/4</f>
        <v>2.4803735005342449E-2</v>
      </c>
      <c r="Q110" s="213">
        <f>SUM('Quarterly Data 2001-2021'!BK111:BN111)/4</f>
        <v>2.1694578552590764E-2</v>
      </c>
      <c r="R110" s="213">
        <f>SUM('Quarterly Data 2001-2021'!BO111:BR111)/4</f>
        <v>1.8977553391732488E-2</v>
      </c>
      <c r="S110" s="213">
        <f>SUM('Quarterly Data 2001-2021'!BS111:BV111)/4</f>
        <v>1.7952207243008562E-2</v>
      </c>
      <c r="T110" s="213">
        <f>SUM('Quarterly Data 2001-2021'!BW111:BZ111)/4</f>
        <v>1.6376572681918337E-2</v>
      </c>
      <c r="U110" s="213">
        <f>SUM('Quarterly Data 2001-2021'!CA111:CD111)/4</f>
        <v>1.8328176184378958E-2</v>
      </c>
      <c r="V110" s="109">
        <f t="shared" ref="V110" si="35">+((U110/P110)^(1/5))-1</f>
        <v>-5.8716526594489782E-2</v>
      </c>
    </row>
    <row r="111" spans="1:24" x14ac:dyDescent="0.2">
      <c r="A111" s="114"/>
      <c r="B111" s="74"/>
      <c r="C111" s="28"/>
      <c r="D111" s="28"/>
      <c r="E111" s="28"/>
      <c r="F111" s="28"/>
      <c r="G111" s="28"/>
      <c r="H111" s="28"/>
      <c r="I111" s="28"/>
      <c r="J111" s="28"/>
      <c r="K111" s="28"/>
      <c r="L111" s="28"/>
      <c r="M111" s="28"/>
      <c r="N111" s="28"/>
      <c r="O111" s="28"/>
      <c r="P111" s="110"/>
      <c r="Q111" s="110"/>
      <c r="R111" s="110"/>
      <c r="S111" s="219"/>
      <c r="T111" s="219"/>
      <c r="U111" s="219"/>
      <c r="V111" s="34"/>
    </row>
    <row r="112" spans="1:24" x14ac:dyDescent="0.2">
      <c r="A112" s="447" t="s">
        <v>129</v>
      </c>
      <c r="B112" s="7"/>
      <c r="C112" s="7"/>
      <c r="D112" s="7"/>
      <c r="E112" s="7"/>
      <c r="F112" s="7"/>
      <c r="G112" s="7"/>
      <c r="H112" s="7"/>
      <c r="I112" s="7"/>
      <c r="J112" s="7"/>
      <c r="K112" s="7"/>
      <c r="L112" s="7"/>
      <c r="M112" s="32"/>
      <c r="N112" s="28"/>
      <c r="O112" s="28"/>
      <c r="P112" s="110"/>
      <c r="Q112" s="110"/>
      <c r="R112" s="110"/>
      <c r="S112" s="110"/>
      <c r="T112" s="110"/>
      <c r="U112" s="99"/>
      <c r="V112" s="34"/>
    </row>
    <row r="113" spans="1:22" x14ac:dyDescent="0.2">
      <c r="A113" s="416" t="s">
        <v>184</v>
      </c>
      <c r="B113" s="76">
        <f>SUM('Quarterly Data 2001-2021'!C114:F114)</f>
        <v>670374</v>
      </c>
      <c r="C113" s="37">
        <f>SUM('Quarterly Data 2001-2021'!G114:J114)</f>
        <v>763771</v>
      </c>
      <c r="D113" s="37">
        <f>SUM('Quarterly Data 2001-2021'!K114:N114)</f>
        <v>932761</v>
      </c>
      <c r="E113" s="37">
        <f>SUM('Quarterly Data 2001-2021'!O114:R114)</f>
        <v>1328044</v>
      </c>
      <c r="F113" s="37">
        <f>SUM('Quarterly Data 2001-2021'!S114:V114)</f>
        <v>1826917</v>
      </c>
      <c r="G113" s="37">
        <f>SUM('Quarterly Data 2001-2021'!W114:Z114)</f>
        <v>2874320</v>
      </c>
      <c r="H113" s="37">
        <f>SUM('Quarterly Data 2001-2021'!AA114:AD114)</f>
        <v>3790410</v>
      </c>
      <c r="I113" s="37">
        <f>SUM('Quarterly Data 2001-2021'!AE114:AH114)</f>
        <v>4075261</v>
      </c>
      <c r="J113" s="37">
        <f>SUM('Quarterly Data 2001-2021'!AI114:AL114)</f>
        <v>5905957</v>
      </c>
      <c r="K113" s="37">
        <f>SUM('Quarterly Data 2001-2021'!AM114:AP114)</f>
        <v>7554337</v>
      </c>
      <c r="L113" s="37">
        <f>SUM('Quarterly Data 2001-2021'!AQ114:AT114)</f>
        <v>7649856</v>
      </c>
      <c r="M113" s="37">
        <f>SUM('Quarterly Data 2001-2021'!AU114:AX114)</f>
        <v>6683611</v>
      </c>
      <c r="N113" s="37">
        <f>SUM('Quarterly Data 2001-2021'!AY114:BB114)</f>
        <v>7655629</v>
      </c>
      <c r="O113" s="37">
        <f>SUM('Quarterly Data 2001-2021'!BC114:BF114)</f>
        <v>9686066</v>
      </c>
      <c r="P113" s="37">
        <f>SUM('Quarterly Data 2001-2021'!BG114:BJ114)</f>
        <v>17994055</v>
      </c>
      <c r="Q113" s="37">
        <f>SUM('Quarterly Data 2001-2021'!BK114:BN114)</f>
        <v>24635018</v>
      </c>
      <c r="R113" s="37">
        <f>SUM('Quarterly Data 2001-2021'!BO114:BR114)</f>
        <v>30764581</v>
      </c>
      <c r="S113" s="37">
        <f>SUM('Quarterly Data 2001-2021'!BS114:BV114)</f>
        <v>35875586</v>
      </c>
      <c r="T113" s="37">
        <f>SUM('Quarterly Data 2001-2021'!BW114:BZ114)</f>
        <v>42947331</v>
      </c>
      <c r="U113" s="37">
        <f>SUM('Quarterly Data 2001-2021'!CA114:CD114)</f>
        <v>85546430</v>
      </c>
      <c r="V113" s="42">
        <f t="shared" ref="V113:V122" si="36">+((U113/P113)^(1/5))-1</f>
        <v>0.36588636395694452</v>
      </c>
    </row>
    <row r="114" spans="1:22" ht="15" x14ac:dyDescent="0.2">
      <c r="A114" s="417" t="s">
        <v>220</v>
      </c>
      <c r="B114" s="92" t="s">
        <v>50</v>
      </c>
      <c r="C114" s="89" t="s">
        <v>50</v>
      </c>
      <c r="D114" s="89" t="s">
        <v>50</v>
      </c>
      <c r="E114" s="89" t="s">
        <v>50</v>
      </c>
      <c r="F114" s="89" t="s">
        <v>50</v>
      </c>
      <c r="G114" s="89" t="s">
        <v>50</v>
      </c>
      <c r="H114" s="89" t="s">
        <v>50</v>
      </c>
      <c r="I114" s="89" t="s">
        <v>50</v>
      </c>
      <c r="J114" s="89" t="s">
        <v>50</v>
      </c>
      <c r="K114" s="89" t="s">
        <v>50</v>
      </c>
      <c r="L114" s="89" t="s">
        <v>50</v>
      </c>
      <c r="M114" s="89" t="s">
        <v>50</v>
      </c>
      <c r="N114" s="89" t="s">
        <v>50</v>
      </c>
      <c r="O114" s="89" t="s">
        <v>50</v>
      </c>
      <c r="P114" s="89" t="s">
        <v>50</v>
      </c>
      <c r="Q114" s="45">
        <f>SUM('Quarterly Data 2001-2021'!BK115:BN115)</f>
        <v>12619121</v>
      </c>
      <c r="R114" s="45">
        <f>SUM('Quarterly Data 2001-2021'!BO115:BR115)</f>
        <v>13918846</v>
      </c>
      <c r="S114" s="45">
        <f>SUM('Quarterly Data 2001-2021'!BS115:BV115)</f>
        <v>15041700</v>
      </c>
      <c r="T114" s="45">
        <f>SUM('Quarterly Data 2001-2021'!BW115:BZ115)</f>
        <v>17504485</v>
      </c>
      <c r="U114" s="45">
        <f>SUM('Quarterly Data 2001-2021'!CA115:CD115)</f>
        <v>40769414</v>
      </c>
      <c r="V114" s="42" t="s">
        <v>213</v>
      </c>
    </row>
    <row r="115" spans="1:22" x14ac:dyDescent="0.2">
      <c r="A115" s="43" t="s">
        <v>110</v>
      </c>
      <c r="B115" s="92" t="s">
        <v>50</v>
      </c>
      <c r="C115" s="89" t="s">
        <v>50</v>
      </c>
      <c r="D115" s="89" t="s">
        <v>50</v>
      </c>
      <c r="E115" s="89" t="s">
        <v>50</v>
      </c>
      <c r="F115" s="89" t="s">
        <v>50</v>
      </c>
      <c r="G115" s="89" t="s">
        <v>50</v>
      </c>
      <c r="H115" s="89" t="s">
        <v>50</v>
      </c>
      <c r="I115" s="89" t="s">
        <v>50</v>
      </c>
      <c r="J115" s="89" t="s">
        <v>50</v>
      </c>
      <c r="K115" s="89" t="s">
        <v>50</v>
      </c>
      <c r="L115" s="89" t="s">
        <v>50</v>
      </c>
      <c r="M115" s="89" t="s">
        <v>50</v>
      </c>
      <c r="N115" s="37">
        <f>SUM('Quarterly Data 2001-2021'!AY116:BB116)</f>
        <v>473207.50172364112</v>
      </c>
      <c r="O115" s="37">
        <f>SUM('Quarterly Data 2001-2021'!BC116:BF116)</f>
        <v>587939.18262169091</v>
      </c>
      <c r="P115" s="37">
        <f>SUM('Quarterly Data 2001-2021'!BG116:BJ116)</f>
        <v>790934.3019488022</v>
      </c>
      <c r="Q115" s="37">
        <f>SUM('Quarterly Data 2001-2021'!BK116:BN116)</f>
        <v>746221.69489188946</v>
      </c>
      <c r="R115" s="37">
        <f>SUM('Quarterly Data 2001-2021'!BO116:BR116)</f>
        <v>705371.81732328027</v>
      </c>
      <c r="S115" s="37">
        <f>SUM('Quarterly Data 2001-2021'!BS116:BV116)</f>
        <v>738207.32067073928</v>
      </c>
      <c r="T115" s="37">
        <f>SUM('Quarterly Data 2001-2021'!BW116:BZ116)</f>
        <v>761007.01823082974</v>
      </c>
      <c r="U115" s="37">
        <f>SUM('Quarterly Data 2001-2021'!CA116:CD116)</f>
        <v>1507895.8636664206</v>
      </c>
      <c r="V115" s="42">
        <f t="shared" si="36"/>
        <v>0.13774828047938881</v>
      </c>
    </row>
    <row r="116" spans="1:22" ht="15" x14ac:dyDescent="0.2">
      <c r="A116" s="417" t="s">
        <v>221</v>
      </c>
      <c r="B116" s="92" t="s">
        <v>50</v>
      </c>
      <c r="C116" s="89" t="s">
        <v>50</v>
      </c>
      <c r="D116" s="89" t="s">
        <v>50</v>
      </c>
      <c r="E116" s="89" t="s">
        <v>50</v>
      </c>
      <c r="F116" s="89" t="s">
        <v>50</v>
      </c>
      <c r="G116" s="89" t="s">
        <v>50</v>
      </c>
      <c r="H116" s="89" t="s">
        <v>50</v>
      </c>
      <c r="I116" s="89" t="s">
        <v>50</v>
      </c>
      <c r="J116" s="89" t="s">
        <v>50</v>
      </c>
      <c r="K116" s="89" t="s">
        <v>50</v>
      </c>
      <c r="L116" s="89" t="s">
        <v>50</v>
      </c>
      <c r="M116" s="89" t="s">
        <v>50</v>
      </c>
      <c r="N116" s="37">
        <f>SUM('Quarterly Data 2001-2021'!AY117:BB117)</f>
        <v>311340.62721998594</v>
      </c>
      <c r="O116" s="37">
        <f>SUM('Quarterly Data 2001-2021'!BC117:BF117)</f>
        <v>365264.72676594782</v>
      </c>
      <c r="P116" s="37">
        <f>SUM('Quarterly Data 2001-2021'!BG117:BJ117)</f>
        <v>678541.3294211399</v>
      </c>
      <c r="Q116" s="37">
        <f>SUM('Quarterly Data 2001-2021'!BK117:BN117)</f>
        <v>614984.35639795032</v>
      </c>
      <c r="R116" s="37">
        <f>SUM('Quarterly Data 2001-2021'!BO117:BR117)</f>
        <v>548997.56215518003</v>
      </c>
      <c r="S116" s="37">
        <f>SUM('Quarterly Data 2001-2021'!BS117:BV117)</f>
        <v>532379.21423193975</v>
      </c>
      <c r="T116" s="37">
        <f>SUM('Quarterly Data 2001-2021'!BW117:BZ117)</f>
        <v>557796.00469951984</v>
      </c>
      <c r="U116" s="37">
        <f>SUM('Quarterly Data 2001-2021'!CA117:CD117)</f>
        <v>1148781.70199184</v>
      </c>
      <c r="V116" s="42">
        <f t="shared" si="36"/>
        <v>0.11104651334431503</v>
      </c>
    </row>
    <row r="117" spans="1:22" x14ac:dyDescent="0.2">
      <c r="A117" s="43" t="s">
        <v>155</v>
      </c>
      <c r="B117" s="92" t="s">
        <v>50</v>
      </c>
      <c r="C117" s="89" t="s">
        <v>50</v>
      </c>
      <c r="D117" s="89" t="s">
        <v>50</v>
      </c>
      <c r="E117" s="89" t="s">
        <v>50</v>
      </c>
      <c r="F117" s="89" t="s">
        <v>50</v>
      </c>
      <c r="G117" s="89" t="s">
        <v>50</v>
      </c>
      <c r="H117" s="89" t="s">
        <v>50</v>
      </c>
      <c r="I117" s="89" t="s">
        <v>50</v>
      </c>
      <c r="J117" s="89" t="s">
        <v>50</v>
      </c>
      <c r="K117" s="89" t="s">
        <v>50</v>
      </c>
      <c r="L117" s="89" t="s">
        <v>50</v>
      </c>
      <c r="M117" s="89" t="s">
        <v>50</v>
      </c>
      <c r="N117" s="37" t="s">
        <v>50</v>
      </c>
      <c r="O117" s="37" t="s">
        <v>50</v>
      </c>
      <c r="P117" s="37" t="s">
        <v>50</v>
      </c>
      <c r="Q117" s="37">
        <v>32068.869481000002</v>
      </c>
      <c r="R117" s="37">
        <v>36675.152612999998</v>
      </c>
      <c r="S117" s="37">
        <v>48058.387196999996</v>
      </c>
      <c r="T117" s="37">
        <v>45065.290328000003</v>
      </c>
      <c r="U117" s="37">
        <v>143739.07111352001</v>
      </c>
      <c r="V117" s="42" t="s">
        <v>213</v>
      </c>
    </row>
    <row r="118" spans="1:22" x14ac:dyDescent="0.2">
      <c r="A118" s="417" t="s">
        <v>186</v>
      </c>
      <c r="B118" s="92" t="s">
        <v>50</v>
      </c>
      <c r="C118" s="89" t="s">
        <v>50</v>
      </c>
      <c r="D118" s="89" t="s">
        <v>50</v>
      </c>
      <c r="E118" s="89" t="s">
        <v>50</v>
      </c>
      <c r="F118" s="89" t="s">
        <v>50</v>
      </c>
      <c r="G118" s="89" t="s">
        <v>50</v>
      </c>
      <c r="H118" s="89" t="s">
        <v>50</v>
      </c>
      <c r="I118" s="89" t="s">
        <v>50</v>
      </c>
      <c r="J118" s="89" t="s">
        <v>50</v>
      </c>
      <c r="K118" s="89" t="s">
        <v>50</v>
      </c>
      <c r="L118" s="89" t="s">
        <v>50</v>
      </c>
      <c r="M118" s="89" t="s">
        <v>50</v>
      </c>
      <c r="N118" s="37" t="s">
        <v>50</v>
      </c>
      <c r="O118" s="37" t="s">
        <v>50</v>
      </c>
      <c r="P118" s="37" t="s">
        <v>50</v>
      </c>
      <c r="Q118" s="293">
        <f t="shared" ref="Q118:T118" si="37">Q114/Q123</f>
        <v>50275.382470119519</v>
      </c>
      <c r="R118" s="293">
        <f t="shared" si="37"/>
        <v>55898.979919678713</v>
      </c>
      <c r="S118" s="293">
        <f t="shared" si="37"/>
        <v>60774.545454545456</v>
      </c>
      <c r="T118" s="293">
        <f t="shared" si="37"/>
        <v>70582.600806451606</v>
      </c>
      <c r="U118" s="293">
        <f>U114/U123</f>
        <v>163077.65599999999</v>
      </c>
      <c r="V118" s="42" t="s">
        <v>213</v>
      </c>
    </row>
    <row r="119" spans="1:22" x14ac:dyDescent="0.2">
      <c r="A119" s="418" t="s">
        <v>185</v>
      </c>
      <c r="B119" s="92" t="s">
        <v>50</v>
      </c>
      <c r="C119" s="89" t="s">
        <v>50</v>
      </c>
      <c r="D119" s="89" t="s">
        <v>50</v>
      </c>
      <c r="E119" s="89" t="s">
        <v>50</v>
      </c>
      <c r="F119" s="89" t="s">
        <v>50</v>
      </c>
      <c r="G119" s="89" t="s">
        <v>50</v>
      </c>
      <c r="H119" s="89" t="s">
        <v>50</v>
      </c>
      <c r="I119" s="89" t="s">
        <v>50</v>
      </c>
      <c r="J119" s="89" t="s">
        <v>50</v>
      </c>
      <c r="K119" s="89" t="s">
        <v>50</v>
      </c>
      <c r="L119" s="89" t="s">
        <v>50</v>
      </c>
      <c r="M119" s="89" t="s">
        <v>50</v>
      </c>
      <c r="N119" s="293">
        <f t="shared" ref="N119:T119" si="38">N116/N123</f>
        <v>1255.405754919298</v>
      </c>
      <c r="O119" s="293">
        <f t="shared" si="38"/>
        <v>1478.8045618054568</v>
      </c>
      <c r="P119" s="293">
        <f t="shared" si="38"/>
        <v>2730.5486093406034</v>
      </c>
      <c r="Q119" s="304">
        <f t="shared" si="38"/>
        <v>2450.1368780794833</v>
      </c>
      <c r="R119" s="304">
        <f t="shared" si="38"/>
        <v>2204.8094865669882</v>
      </c>
      <c r="S119" s="304">
        <f t="shared" si="38"/>
        <v>2151.0271282098574</v>
      </c>
      <c r="T119" s="304">
        <f t="shared" si="38"/>
        <v>2249.1774383045154</v>
      </c>
      <c r="U119" s="304">
        <f>U116/U123</f>
        <v>4595.12680796736</v>
      </c>
      <c r="V119" s="42">
        <f t="shared" si="36"/>
        <v>0.10971004614641022</v>
      </c>
    </row>
    <row r="120" spans="1:22" x14ac:dyDescent="0.2">
      <c r="A120" s="417" t="s">
        <v>187</v>
      </c>
      <c r="B120" s="92" t="s">
        <v>50</v>
      </c>
      <c r="C120" s="89" t="s">
        <v>50</v>
      </c>
      <c r="D120" s="89" t="s">
        <v>50</v>
      </c>
      <c r="E120" s="89" t="s">
        <v>50</v>
      </c>
      <c r="F120" s="89" t="s">
        <v>50</v>
      </c>
      <c r="G120" s="89" t="s">
        <v>50</v>
      </c>
      <c r="H120" s="89" t="s">
        <v>50</v>
      </c>
      <c r="I120" s="89" t="s">
        <v>50</v>
      </c>
      <c r="J120" s="89" t="s">
        <v>50</v>
      </c>
      <c r="K120" s="89" t="s">
        <v>50</v>
      </c>
      <c r="L120" s="89" t="s">
        <v>50</v>
      </c>
      <c r="M120" s="89" t="s">
        <v>50</v>
      </c>
      <c r="N120" s="37" t="s">
        <v>50</v>
      </c>
      <c r="O120" s="37" t="s">
        <v>50</v>
      </c>
      <c r="P120" s="37" t="s">
        <v>50</v>
      </c>
      <c r="Q120" s="45">
        <f>Q114/((Q68+P68)/2*1000)</f>
        <v>24.309614717780775</v>
      </c>
      <c r="R120" s="45">
        <f t="shared" ref="R120:U120" si="39">R114/((R68+Q68)/2*1000)</f>
        <v>21.727114783936209</v>
      </c>
      <c r="S120" s="45">
        <f t="shared" si="39"/>
        <v>19.436483221129613</v>
      </c>
      <c r="T120" s="45">
        <f t="shared" si="39"/>
        <v>19.304004278876906</v>
      </c>
      <c r="U120" s="45">
        <f t="shared" si="39"/>
        <v>36.131053833119459</v>
      </c>
      <c r="V120" s="42" t="s">
        <v>213</v>
      </c>
    </row>
    <row r="121" spans="1:22" x14ac:dyDescent="0.2">
      <c r="A121" s="416" t="s">
        <v>188</v>
      </c>
      <c r="B121" s="92" t="s">
        <v>50</v>
      </c>
      <c r="C121" s="89" t="s">
        <v>50</v>
      </c>
      <c r="D121" s="89" t="s">
        <v>50</v>
      </c>
      <c r="E121" s="89" t="s">
        <v>50</v>
      </c>
      <c r="F121" s="89" t="s">
        <v>50</v>
      </c>
      <c r="G121" s="89" t="s">
        <v>50</v>
      </c>
      <c r="H121" s="89" t="s">
        <v>50</v>
      </c>
      <c r="I121" s="89" t="s">
        <v>50</v>
      </c>
      <c r="J121" s="89" t="s">
        <v>50</v>
      </c>
      <c r="K121" s="89" t="s">
        <v>50</v>
      </c>
      <c r="L121" s="89" t="s">
        <v>50</v>
      </c>
      <c r="M121" s="89" t="s">
        <v>50</v>
      </c>
      <c r="N121" s="384">
        <f t="shared" ref="N121:T121" si="40">+N12/N116</f>
        <v>7.869194656272366E-4</v>
      </c>
      <c r="O121" s="384">
        <f t="shared" si="40"/>
        <v>7.8217243293538484E-4</v>
      </c>
      <c r="P121" s="384">
        <f t="shared" si="40"/>
        <v>7.0651554918397337E-4</v>
      </c>
      <c r="Q121" s="384">
        <f t="shared" si="40"/>
        <v>7.6327144766631411E-4</v>
      </c>
      <c r="R121" s="384">
        <f t="shared" si="40"/>
        <v>8.1858286990529904E-4</v>
      </c>
      <c r="S121" s="384">
        <f t="shared" si="40"/>
        <v>8.1756052707267267E-4</v>
      </c>
      <c r="T121" s="384">
        <f t="shared" si="40"/>
        <v>8.352123402371142E-4</v>
      </c>
      <c r="U121" s="384">
        <f>+U12/U116</f>
        <v>9.5931505991015916E-4</v>
      </c>
      <c r="V121" s="42">
        <f t="shared" si="36"/>
        <v>6.3084797429302064E-2</v>
      </c>
    </row>
    <row r="122" spans="1:22" x14ac:dyDescent="0.2">
      <c r="A122" s="416" t="s">
        <v>115</v>
      </c>
      <c r="B122" s="302">
        <f t="shared" ref="B122:U122" si="41">+B12/(B123)</f>
        <v>0.2072</v>
      </c>
      <c r="C122" s="302">
        <f t="shared" si="41"/>
        <v>0.27920000000000006</v>
      </c>
      <c r="D122" s="302">
        <f t="shared" si="41"/>
        <v>0.35742971887550201</v>
      </c>
      <c r="E122" s="302">
        <f t="shared" si="41"/>
        <v>0.48656126482213441</v>
      </c>
      <c r="F122" s="302">
        <f t="shared" si="41"/>
        <v>0.60948616600790506</v>
      </c>
      <c r="G122" s="302">
        <f t="shared" si="41"/>
        <v>0.95879999999999999</v>
      </c>
      <c r="H122" s="302">
        <f t="shared" si="41"/>
        <v>1.018386454183267</v>
      </c>
      <c r="I122" s="302">
        <f t="shared" si="41"/>
        <v>0.91548902195608772</v>
      </c>
      <c r="J122" s="302">
        <f t="shared" si="41"/>
        <v>1.2067162977867205</v>
      </c>
      <c r="K122" s="302">
        <f t="shared" si="41"/>
        <v>1.3129740518962076</v>
      </c>
      <c r="L122" s="302">
        <f t="shared" si="41"/>
        <v>1.2155378486055775</v>
      </c>
      <c r="M122" s="302">
        <f t="shared" si="41"/>
        <v>0.87272727272727268</v>
      </c>
      <c r="N122" s="302">
        <f t="shared" si="41"/>
        <v>0.98790322580645162</v>
      </c>
      <c r="O122" s="302">
        <f t="shared" si="41"/>
        <v>1.1566801619433198</v>
      </c>
      <c r="P122" s="302">
        <f t="shared" si="41"/>
        <v>1.929175050301811</v>
      </c>
      <c r="Q122" s="302">
        <f t="shared" si="41"/>
        <v>1.8701195219123505</v>
      </c>
      <c r="R122" s="302">
        <f t="shared" si="41"/>
        <v>1.8048192771084339</v>
      </c>
      <c r="S122" s="302">
        <f t="shared" si="41"/>
        <v>1.7585948726868685</v>
      </c>
      <c r="T122" s="302">
        <f t="shared" si="41"/>
        <v>1.878540751854832</v>
      </c>
      <c r="U122" s="302">
        <f t="shared" si="41"/>
        <v>4.4081743490799861</v>
      </c>
      <c r="V122" s="42">
        <f t="shared" si="36"/>
        <v>0.17971587961281799</v>
      </c>
    </row>
    <row r="123" spans="1:22" x14ac:dyDescent="0.2">
      <c r="A123" s="416" t="s">
        <v>32</v>
      </c>
      <c r="B123" s="206">
        <f>SUM('Quarterly Data 2001-2021'!C124:F124)</f>
        <v>250</v>
      </c>
      <c r="C123" s="86">
        <f>SUM('Quarterly Data 2001-2021'!G124:J124)</f>
        <v>250</v>
      </c>
      <c r="D123" s="86">
        <f>SUM('Quarterly Data 2001-2021'!K124:N124)</f>
        <v>249</v>
      </c>
      <c r="E123" s="86">
        <f>SUM('Quarterly Data 2001-2021'!O124:R124)</f>
        <v>253</v>
      </c>
      <c r="F123" s="86">
        <f>SUM('Quarterly Data 2001-2021'!S124:V124)</f>
        <v>253</v>
      </c>
      <c r="G123" s="86">
        <f>SUM('Quarterly Data 2001-2021'!W124:Z124)</f>
        <v>250</v>
      </c>
      <c r="H123" s="86">
        <f>SUM('Quarterly Data 2001-2021'!AA124:AD124)</f>
        <v>251</v>
      </c>
      <c r="I123" s="86">
        <f>SUM('Quarterly Data 2001-2021'!AE124:AH124)</f>
        <v>250.5</v>
      </c>
      <c r="J123" s="86">
        <f>SUM('Quarterly Data 2001-2021'!AI124:AL124)</f>
        <v>248.5</v>
      </c>
      <c r="K123" s="86">
        <f>SUM('Quarterly Data 2001-2021'!AM124:AP124)</f>
        <v>250.5</v>
      </c>
      <c r="L123" s="86">
        <f>SUM('Quarterly Data 2001-2021'!AQ124:AT124)</f>
        <v>251</v>
      </c>
      <c r="M123" s="86">
        <f>SUM('Quarterly Data 2001-2021'!AU124:AX124)</f>
        <v>247.5</v>
      </c>
      <c r="N123" s="86">
        <f>SUM('Quarterly Data 2001-2021'!AY124:BB124)</f>
        <v>248</v>
      </c>
      <c r="O123" s="86">
        <f>SUM('Quarterly Data 2001-2021'!BC124:BF124)</f>
        <v>247</v>
      </c>
      <c r="P123" s="86">
        <f>SUM('Quarterly Data 2001-2021'!BG124:BJ124)</f>
        <v>248.5</v>
      </c>
      <c r="Q123" s="86">
        <f>SUM('Quarterly Data 2001-2021'!BK124:BN124)</f>
        <v>251</v>
      </c>
      <c r="R123" s="86">
        <f>SUM('Quarterly Data 2001-2021'!BO124:BR124)</f>
        <v>249</v>
      </c>
      <c r="S123" s="86">
        <f>SUM('Quarterly Data 2001-2021'!BS124:BV124)</f>
        <v>247.5</v>
      </c>
      <c r="T123" s="86">
        <f>SUM('Quarterly Data 2001-2021'!BW124:BZ124)</f>
        <v>248</v>
      </c>
      <c r="U123" s="86">
        <f>SUM('Quarterly Data 2001-2021'!CA124:CD124)</f>
        <v>250</v>
      </c>
      <c r="V123" s="42" t="s">
        <v>213</v>
      </c>
    </row>
    <row r="124" spans="1:22" x14ac:dyDescent="0.2">
      <c r="A124" s="10"/>
      <c r="B124" s="74"/>
      <c r="C124" s="28"/>
      <c r="D124" s="28"/>
      <c r="E124" s="28"/>
      <c r="F124" s="28"/>
      <c r="G124" s="28"/>
      <c r="H124" s="28"/>
      <c r="I124" s="28"/>
      <c r="J124" s="28"/>
      <c r="K124" s="28"/>
      <c r="L124" s="28"/>
      <c r="M124" s="28"/>
      <c r="N124" s="28"/>
      <c r="O124" s="28"/>
      <c r="P124" s="110"/>
      <c r="Q124" s="110"/>
      <c r="R124" s="110"/>
      <c r="S124" s="110"/>
      <c r="T124" s="110"/>
      <c r="U124" s="110"/>
      <c r="V124" s="34"/>
    </row>
    <row r="125" spans="1:22" x14ac:dyDescent="0.2">
      <c r="A125" s="237" t="s">
        <v>139</v>
      </c>
      <c r="B125" s="74"/>
      <c r="C125" s="28"/>
      <c r="D125" s="28"/>
      <c r="E125" s="28"/>
      <c r="F125" s="28"/>
      <c r="G125" s="28"/>
      <c r="H125" s="28"/>
      <c r="I125" s="28"/>
      <c r="J125" s="28"/>
      <c r="K125" s="28"/>
      <c r="L125" s="28"/>
      <c r="M125" s="28"/>
      <c r="N125" s="28"/>
      <c r="O125" s="28"/>
      <c r="P125" s="110"/>
      <c r="Q125" s="110"/>
      <c r="R125" s="110"/>
      <c r="S125" s="110"/>
      <c r="T125" s="110"/>
      <c r="U125" s="110"/>
      <c r="V125" s="34"/>
    </row>
    <row r="126" spans="1:22" x14ac:dyDescent="0.2">
      <c r="A126" s="35" t="s">
        <v>105</v>
      </c>
      <c r="B126" s="131">
        <f>+B31/(('Quarterly Data 2001-2021'!$B$88+'Quarterly Data 2001-2021'!$C$88+'Quarterly Data 2001-2021'!$D$88+'Quarterly Data 2001-2021'!$E$88+'Quarterly Data 2001-2021'!$F$88)/5)</f>
        <v>1.3094820853467715E-2</v>
      </c>
      <c r="C126" s="128">
        <f>+C31/(('Quarterly Data 2001-2021'!$F$88+'Quarterly Data 2001-2021'!$G$88+'Quarterly Data 2001-2021'!$H$88+'Quarterly Data 2001-2021'!$I$88+'Quarterly Data 2001-2021'!$J$88)/5)</f>
        <v>1.6790932348703567E-2</v>
      </c>
      <c r="D126" s="128">
        <f>+D31/(('Quarterly Data 2001-2021'!$J$88+'Quarterly Data 2001-2021'!$K$88+'Quarterly Data 2001-2021'!$L$88+'Quarterly Data 2001-2021'!$M$88+'Quarterly Data 2001-2021'!$N$88)/5)</f>
        <v>1.7715056056255271E-2</v>
      </c>
      <c r="E126" s="128">
        <f>+E31/(('Quarterly Data 2001-2021'!$N$88+'Quarterly Data 2001-2021'!$O$88+'Quarterly Data 2001-2021'!$P$88+'Quarterly Data 2001-2021'!$Q$88+'Quarterly Data 2001-2021'!$R$88)/5)</f>
        <v>1.4180896045332151E-2</v>
      </c>
      <c r="F126" s="128">
        <f>+F31/(('Quarterly Data 2001-2021'!$R$88+'Quarterly Data 2001-2021'!$S$88+'Quarterly Data 2001-2021'!$T$88+'Quarterly Data 2001-2021'!$U$88+'Quarterly Data 2001-2021'!$V$88)/5)</f>
        <v>1.1844493608611872E-2</v>
      </c>
      <c r="G126" s="128">
        <f>+G31/(('Quarterly Data 2001-2021'!$V$88+'Quarterly Data 2001-2021'!$W$88+'Quarterly Data 2001-2021'!$X$88+'Quarterly Data 2001-2021'!$Y$88+'Quarterly Data 2001-2021'!$Z$88)/5)</f>
        <v>1.1783831973515955E-2</v>
      </c>
      <c r="H126" s="128">
        <f>H31/(('Quarterly Data 2001-2021'!$Z$88+'Quarterly Data 2001-2021'!$AA$88+'Quarterly Data 2001-2021'!$AB$88+'Quarterly Data 2001-2021'!$AC$88+'Quarterly Data 2001-2021'!$AD$88)/5)</f>
        <v>1.126458686151436E-2</v>
      </c>
      <c r="I126" s="128">
        <f>I31/(('Quarterly Data 2001-2021'!$AD$88+'Quarterly Data 2001-2021'!$AE$88+'Quarterly Data 2001-2021'!$AF$88+'Quarterly Data 2001-2021'!$AG$88+'Quarterly Data 2001-2021'!$AH$88)/5)</f>
        <v>1.1630630810872835E-2</v>
      </c>
      <c r="J126" s="128">
        <f>J31/(('Quarterly Data 2001-2021'!$AH$88+'Quarterly Data 2001-2021'!$AI$88+'Quarterly Data 2001-2021'!$AJ$88+'Quarterly Data 2001-2021'!$AK$88+'Quarterly Data 2001-2021'!$AL$88)/5)</f>
        <v>1.0328536019733572E-2</v>
      </c>
      <c r="K126" s="128">
        <f>K31/(('Quarterly Data 2001-2021'!$AL$88+'Quarterly Data 2001-2021'!$AM$88+'Quarterly Data 2001-2021'!$AN$88+'Quarterly Data 2001-2021'!$AO$88+'Quarterly Data 2001-2021'!$AP$88)/5)</f>
        <v>8.15241809784659E-3</v>
      </c>
      <c r="L126" s="128">
        <f>L31/(('Quarterly Data 2001-2021'!$AP$88+'Quarterly Data 2001-2021'!$AQ$88+'Quarterly Data 2001-2021'!$AR$88+'Quarterly Data 2001-2021'!$AS$88+'Quarterly Data 2001-2021'!$AT$88)/5)</f>
        <v>8.2219484616422953E-3</v>
      </c>
      <c r="M126" s="128">
        <f>M31/(('Quarterly Data 2001-2021'!$AT$88+'Quarterly Data 2001-2021'!$AU$88+'Quarterly Data 2001-2021'!$AV$88+'Quarterly Data 2001-2021'!$AW$88+'Quarterly Data 2001-2021'!$AX$88)/5)</f>
        <v>6.600049201971458E-3</v>
      </c>
      <c r="N126" s="128">
        <f>N31/(('Quarterly Data 2001-2021'!$AX$88+'Quarterly Data 2001-2021'!$AY$88+'Quarterly Data 2001-2021'!$AZ$88+'Quarterly Data 2001-2021'!$BA$88+'Quarterly Data 2001-2021'!$BB$88)/5)</f>
        <v>5.716461006919909E-3</v>
      </c>
      <c r="O126" s="128">
        <f>O31/(('Quarterly Data 2001-2021'!$BB$88+'Quarterly Data 2001-2021'!$BC$88+'Quarterly Data 2001-2021'!$BD$88+'Quarterly Data 2001-2021'!$BE$88+'Quarterly Data 2001-2021'!$BF$88)/5)</f>
        <v>5.1214932765234825E-3</v>
      </c>
      <c r="P126" s="128">
        <f>P31/(('Quarterly Data 2001-2021'!$BF$88+'Quarterly Data 2001-2021'!$BG$88+'Quarterly Data 2001-2021'!$BH$88+'Quarterly Data 2001-2021'!$BI$88+'Quarterly Data 2001-2021'!$BJ$88)/5)</f>
        <v>5.1422171135118927E-3</v>
      </c>
      <c r="Q126" s="128">
        <f>(Q31)/(('Quarterly Data 2001-2021'!$BJ$88+'Quarterly Data 2001-2021'!$BK$88+'Quarterly Data 2001-2021'!$BL$88+'Quarterly Data 2001-2021'!$BM$88+'Quarterly Data 2001-2021'!$BN$88)/5)</f>
        <v>4.2487945803998065E-3</v>
      </c>
      <c r="R126" s="128">
        <f>(R31)/(('Quarterly Data 2001-2021'!$BN$88+'Quarterly Data 2001-2021'!$BO$88+'Quarterly Data 2001-2021'!$BP$88+'Quarterly Data 2001-2021'!$BQ$88+'Quarterly Data 2001-2021'!$BR$88)/5)</f>
        <v>3.6714674724182841E-3</v>
      </c>
      <c r="S126" s="128">
        <f>(S31)/(('Quarterly Data 2001-2021'!$BR$88+'Quarterly Data 2001-2021'!$BS$88+'Quarterly Data 2001-2021'!$BT$88+'Quarterly Data 2001-2021'!$BU$88+'Quarterly Data 2001-2021'!$BV$88)/5)</f>
        <v>3.474058095470509E-3</v>
      </c>
      <c r="T126" s="128">
        <f>(T31)/(('Quarterly Data 2001-2021'!$BV$88+'Quarterly Data 2001-2021'!$BW$88+'Quarterly Data 2001-2021'!$BX$88+'Quarterly Data 2001-2021'!$BY$88+'Quarterly Data 2001-2021'!$BZ$88)/5)</f>
        <v>3.3528831960113492E-3</v>
      </c>
      <c r="U126" s="128">
        <f>(U31)/(('Quarterly Data 2001-2021'!$BZ$88+'Quarterly Data 2001-2021'!$CA$88+'Quarterly Data 2001-2021'!$CB$88+'Quarterly Data 2001-2021'!$CC$88+'Quarterly Data 2001-2021'!$CD$88)/5)</f>
        <v>5.0946035245670231E-3</v>
      </c>
      <c r="V126" s="42">
        <f t="shared" ref="V126:V129" si="42">+((U126/P126)^(1/5))-1</f>
        <v>-1.8587672346409567E-3</v>
      </c>
    </row>
    <row r="127" spans="1:22" x14ac:dyDescent="0.2">
      <c r="A127" s="104" t="s">
        <v>94</v>
      </c>
      <c r="B127" s="140">
        <f>-B37/(('Quarterly Data 2001-2021'!$B$88+'Quarterly Data 2001-2021'!$C$88+'Quarterly Data 2001-2021'!$D$88+'Quarterly Data 2001-2021'!$E$88+'Quarterly Data 2001-2021'!$F$88)/5)</f>
        <v>1.1798764754096098E-2</v>
      </c>
      <c r="C127" s="137">
        <f>-C37/(('Quarterly Data 2001-2021'!$F$88+'Quarterly Data 2001-2021'!$G$88+'Quarterly Data 2001-2021'!$H$88+'Quarterly Data 2001-2021'!$I$88+'Quarterly Data 2001-2021'!$J$88)/5)</f>
        <v>1.3096379403853421E-2</v>
      </c>
      <c r="D127" s="137">
        <f>-D37/(('Quarterly Data 2001-2021'!$J$88+'Quarterly Data 2001-2021'!$K$88+'Quarterly Data 2001-2021'!$L$88+'Quarterly Data 2001-2021'!$M$88+'Quarterly Data 2001-2021'!$N$88)/5)</f>
        <v>1.0740601218737857E-2</v>
      </c>
      <c r="E127" s="137">
        <f>-E37/(('Quarterly Data 2001-2021'!$N$88+'Quarterly Data 2001-2021'!$O$88+'Quarterly Data 2001-2021'!$P$88+'Quarterly Data 2001-2021'!$Q$88+'Quarterly Data 2001-2021'!$R$88)/5)</f>
        <v>7.345252127648071E-3</v>
      </c>
      <c r="F127" s="137">
        <f>-F37/(('Quarterly Data 2001-2021'!$R$88+'Quarterly Data 2001-2021'!$S$88+'Quarterly Data 2001-2021'!$T$88+'Quarterly Data 2001-2021'!$U$88+'Quarterly Data 2001-2021'!$V$88)/5)</f>
        <v>5.7264200465177214E-3</v>
      </c>
      <c r="G127" s="137">
        <f>-G37/(('Quarterly Data 2001-2021'!$V$88+'Quarterly Data 2001-2021'!$W$88+'Quarterly Data 2001-2021'!$X$88+'Quarterly Data 2001-2021'!$Y$88+'Quarterly Data 2001-2021'!$Z$88)/5)</f>
        <v>5.43795105698326E-3</v>
      </c>
      <c r="H127" s="137">
        <f>-H37/(('Quarterly Data 2001-2021'!$Z$88+'Quarterly Data 2001-2021'!$AA$88+'Quarterly Data 2001-2021'!$AB$88+'Quarterly Data 2001-2021'!$AC$88+'Quarterly Data 2001-2021'!$AD$88)/5)</f>
        <v>5.0103193005384518E-3</v>
      </c>
      <c r="I127" s="137">
        <f>-I37/(('Quarterly Data 2001-2021'!$AD$88+'Quarterly Data 2001-2021'!$AE$88+'Quarterly Data 2001-2021'!$AF$88+'Quarterly Data 2001-2021'!$AG$88+'Quarterly Data 2001-2021'!$AH$88)/5)</f>
        <v>6.1268620139150838E-3</v>
      </c>
      <c r="J127" s="137">
        <f>-J37/(('Quarterly Data 2001-2021'!$AH$88+'Quarterly Data 2001-2021'!$AI$88+'Quarterly Data 2001-2021'!$AJ$88+'Quarterly Data 2001-2021'!$AK$88+'Quarterly Data 2001-2021'!$AL$88)/5)</f>
        <v>4.6455103075714582E-3</v>
      </c>
      <c r="K127" s="137">
        <f>-K37/(('Quarterly Data 2001-2021'!$AL$88+'Quarterly Data 2001-2021'!$AM$88+'Quarterly Data 2001-2021'!$AN$88+'Quarterly Data 2001-2021'!$AO$88+'Quarterly Data 2001-2021'!$AP$88)/5)</f>
        <v>3.7531041317431179E-3</v>
      </c>
      <c r="L127" s="137">
        <f>-L37/(('Quarterly Data 2001-2021'!$AP$88+'Quarterly Data 2001-2021'!$AQ$88+'Quarterly Data 2001-2021'!$AR$88+'Quarterly Data 2001-2021'!$AS$88+'Quarterly Data 2001-2021'!$AT$88)/5)</f>
        <v>4.0557974885382462E-3</v>
      </c>
      <c r="M127" s="137">
        <f>-M37/(('Quarterly Data 2001-2021'!$AT$88+'Quarterly Data 2001-2021'!$AU$88+'Quarterly Data 2001-2021'!$AV$88+'Quarterly Data 2001-2021'!$AW$88+'Quarterly Data 2001-2021'!$AX$88)/5)</f>
        <v>4.1912909638638094E-3</v>
      </c>
      <c r="N127" s="137">
        <f>-N37/(('Quarterly Data 2001-2021'!$AX$88+'Quarterly Data 2001-2021'!$AY$88+'Quarterly Data 2001-2021'!$AZ$88+'Quarterly Data 2001-2021'!$BA$88+'Quarterly Data 2001-2021'!$BB$88)/5)</f>
        <v>3.4830476025058525E-3</v>
      </c>
      <c r="O127" s="137">
        <f>-O37/(('Quarterly Data 2001-2021'!$BB$88+'Quarterly Data 2001-2021'!$BC$88+'Quarterly Data 2001-2021'!$BD$88+'Quarterly Data 2001-2021'!$BE$88+'Quarterly Data 2001-2021'!$BF$88)/5)</f>
        <v>2.8909264628455937E-3</v>
      </c>
      <c r="P127" s="137">
        <f>-P37/(('Quarterly Data 2001-2021'!$BF$88+'Quarterly Data 2001-2021'!$BG$88+'Quarterly Data 2001-2021'!$BH$88+'Quarterly Data 2001-2021'!$BI$88+'Quarterly Data 2001-2021'!$BJ$88)/5)</f>
        <v>2.3568922804040409E-3</v>
      </c>
      <c r="Q127" s="128">
        <f>(-Q37)/(('Quarterly Data 2001-2021'!$BJ$88+'Quarterly Data 2001-2021'!$BK$88+'Quarterly Data 2001-2021'!$BL$88+'Quarterly Data 2001-2021'!$BM$88+'Quarterly Data 2001-2021'!$BN$88)/5)</f>
        <v>2.0724850027766897E-3</v>
      </c>
      <c r="R127" s="128">
        <f>(-R37)/(('Quarterly Data 2001-2021'!$BN$88+'Quarterly Data 2001-2021'!$BO$88+'Quarterly Data 2001-2021'!$BP$88+'Quarterly Data 2001-2021'!$BQ$88+'Quarterly Data 2001-2021'!$BR$88)/5)</f>
        <v>2.0128661374762989E-3</v>
      </c>
      <c r="S127" s="128">
        <f>(-S37-35)/(('Quarterly Data 2001-2021'!$BR$88+'Quarterly Data 2001-2021'!$BS$88+'Quarterly Data 2001-2021'!$BT$88+'Quarterly Data 2001-2021'!$BU$88+'Quarterly Data 2001-2021'!$BV$88)/5)</f>
        <v>1.9681980747955448E-3</v>
      </c>
      <c r="T127" s="128">
        <f>-T37/(('Quarterly Data 2001-2021'!$BV$88+'Quarterly Data 2001-2021'!$BW$88+'Quarterly Data 2001-2021'!$BX$88+'Quarterly Data 2001-2021'!$BY$88+'Quarterly Data 2001-2021'!$BZ$88)/5)</f>
        <v>1.8697211701452351E-3</v>
      </c>
      <c r="U127" s="128">
        <f>-U37/(('Quarterly Data 2001-2021'!$BZ$88+'Quarterly Data 2001-2021'!$CA$88+'Quarterly Data 2001-2021'!$CB$88+'Quarterly Data 2001-2021'!$CC$88+'Quarterly Data 2001-2021'!$CD$88)/5)</f>
        <v>1.6540962106150222E-3</v>
      </c>
      <c r="V127" s="42">
        <f t="shared" si="42"/>
        <v>-6.8368409411180719E-2</v>
      </c>
    </row>
    <row r="128" spans="1:22" x14ac:dyDescent="0.2">
      <c r="A128" s="104" t="s">
        <v>95</v>
      </c>
      <c r="B128" s="140">
        <f>+B43/(('Quarterly Data 2001-2021'!$B$88+'Quarterly Data 2001-2021'!$C$88+'Quarterly Data 2001-2021'!$D$88+'Quarterly Data 2001-2021'!$E$88+'Quarterly Data 2001-2021'!$F$88)/5)</f>
        <v>1.2960560993716169E-3</v>
      </c>
      <c r="C128" s="137">
        <f>+C43/(('Quarterly Data 2001-2021'!$F$88+'Quarterly Data 2001-2021'!$G$88+'Quarterly Data 2001-2021'!$H$88+'Quarterly Data 2001-2021'!$I$88+'Quarterly Data 2001-2021'!$J$88)/5)</f>
        <v>3.6808572414662108E-3</v>
      </c>
      <c r="D128" s="137">
        <f>+D43/(('Quarterly Data 2001-2021'!$J$88+'Quarterly Data 2001-2021'!$K$88+'Quarterly Data 2001-2021'!$L$88+'Quarterly Data 2001-2021'!$M$88+'Quarterly Data 2001-2021'!$N$88)/5)</f>
        <v>6.9744548375174137E-3</v>
      </c>
      <c r="E128" s="137">
        <f>+E43/(('Quarterly Data 2001-2021'!$N$88+'Quarterly Data 2001-2021'!$O$88+'Quarterly Data 2001-2021'!$P$88+'Quarterly Data 2001-2021'!$Q$88+'Quarterly Data 2001-2021'!$R$88)/5)</f>
        <v>6.8356439176840795E-3</v>
      </c>
      <c r="F128" s="137">
        <f>+F43/(('Quarterly Data 2001-2021'!$R$88+'Quarterly Data 2001-2021'!$S$88+'Quarterly Data 2001-2021'!$T$88+'Quarterly Data 2001-2021'!$U$88+'Quarterly Data 2001-2021'!$V$88)/5)</f>
        <v>6.1222463035769583E-3</v>
      </c>
      <c r="G128" s="137">
        <f>+G43/(('Quarterly Data 2001-2021'!$V$88+'Quarterly Data 2001-2021'!$W$88+'Quarterly Data 2001-2021'!$X$88+'Quarterly Data 2001-2021'!$Y$88+'Quarterly Data 2001-2021'!$Z$88)/5)</f>
        <v>6.3458809165326951E-3</v>
      </c>
      <c r="H128" s="137">
        <f>H43/(('Quarterly Data 2001-2021'!$Z$88+'Quarterly Data 2001-2021'!$AA$88+'Quarterly Data 2001-2021'!$AB$88+'Quarterly Data 2001-2021'!$AC$88+'Quarterly Data 2001-2021'!$AD$88)/5)</f>
        <v>6.2248096196024939E-3</v>
      </c>
      <c r="I128" s="137">
        <f>I43/(('Quarterly Data 2001-2021'!$AD$88+'Quarterly Data 2001-2021'!$AE$88+'Quarterly Data 2001-2021'!$AF$88+'Quarterly Data 2001-2021'!$AG$88+'Quarterly Data 2001-2021'!$AH$88)/5)</f>
        <v>5.5037687969577507E-3</v>
      </c>
      <c r="J128" s="137">
        <f>J43/(('Quarterly Data 2001-2021'!$AH$88+'Quarterly Data 2001-2021'!$AI$88+'Quarterly Data 2001-2021'!$AJ$88+'Quarterly Data 2001-2021'!$AK$88+'Quarterly Data 2001-2021'!$AL$88)/5)</f>
        <v>5.6830257121621144E-3</v>
      </c>
      <c r="K128" s="137">
        <f>K43/(('Quarterly Data 2001-2021'!$AL$88+'Quarterly Data 2001-2021'!$AM$88+'Quarterly Data 2001-2021'!$AN$88+'Quarterly Data 2001-2021'!$AO$88+'Quarterly Data 2001-2021'!$AP$88)/5)</f>
        <v>4.3993139661034708E-3</v>
      </c>
      <c r="L128" s="137">
        <f>L43/(('Quarterly Data 2001-2021'!$AP$88+'Quarterly Data 2001-2021'!$AQ$88+'Quarterly Data 2001-2021'!$AR$88+'Quarterly Data 2001-2021'!$AS$88+'Quarterly Data 2001-2021'!$AT$88)/5)</f>
        <v>4.0938370729261559E-3</v>
      </c>
      <c r="M128" s="137">
        <f>M43/(('Quarterly Data 2001-2021'!$AT$88+'Quarterly Data 2001-2021'!$AU$88+'Quarterly Data 2001-2021'!$AV$88+'Quarterly Data 2001-2021'!$AW$88+'Quarterly Data 2001-2021'!$AX$88)/5)</f>
        <v>2.3967722281784381E-3</v>
      </c>
      <c r="N128" s="137">
        <f>N43/(('Quarterly Data 2001-2021'!$AX$88+'Quarterly Data 2001-2021'!$AY$88+'Quarterly Data 2001-2021'!$AZ$88+'Quarterly Data 2001-2021'!$BA$88+'Quarterly Data 2001-2021'!$BB$88)/5)</f>
        <v>2.2235447366447309E-3</v>
      </c>
      <c r="O128" s="137">
        <f>O43/(('Quarterly Data 2001-2021'!$BB$88+'Quarterly Data 2001-2021'!$BC$88+'Quarterly Data 2001-2021'!$BD$88+'Quarterly Data 2001-2021'!$BE$88+'Quarterly Data 2001-2021'!$BF$88)/5)</f>
        <v>2.2335881090354117E-3</v>
      </c>
      <c r="P128" s="137">
        <f>P43/(('Quarterly Data 2001-2021'!$BF$88+'Quarterly Data 2001-2021'!$BG$88+'Quarterly Data 2001-2021'!$BH$88+'Quarterly Data 2001-2021'!$BI$88+'Quarterly Data 2001-2021'!$BJ$88)/5)</f>
        <v>2.7840881126626536E-3</v>
      </c>
      <c r="Q128" s="137">
        <f>(Q43)/(('Quarterly Data 2001-2021'!$BJ$88+'Quarterly Data 2001-2021'!$BK$88+'Quarterly Data 2001-2021'!$BL$88+'Quarterly Data 2001-2021'!$BM$88+'Quarterly Data 2001-2021'!$BN$88)/5)</f>
        <v>2.1739481277946479E-3</v>
      </c>
      <c r="R128" s="137">
        <f>(R43)/(('Quarterly Data 2001-2021'!$BN$88+'Quarterly Data 2001-2021'!$BO$88+'Quarterly Data 2001-2021'!$BP$88+'Quarterly Data 2001-2021'!$BQ$88+'Quarterly Data 2001-2021'!$BR$88)/5)</f>
        <v>1.6600702906246015E-3</v>
      </c>
      <c r="S128" s="137">
        <f>(S43+35)/(('Quarterly Data 2001-2021'!$BR$88+'Quarterly Data 2001-2021'!$BS$88+'Quarterly Data 2001-2021'!$BT$88+'Quarterly Data 2001-2021'!$BU$88+'Quarterly Data 2001-2021'!$BV$88)/5)</f>
        <v>1.4998479839920787E-3</v>
      </c>
      <c r="T128" s="137">
        <f>T43/(('Quarterly Data 2001-2021'!$BV$88+'Quarterly Data 2001-2021'!$BW$88+'Quarterly Data 2001-2021'!$BX$88+'Quarterly Data 2001-2021'!$BY$88+'Quarterly Data 2001-2021'!$BZ$88)/5)</f>
        <v>1.4609336019629042E-3</v>
      </c>
      <c r="U128" s="137">
        <f>U43/(('Quarterly Data 2001-2021'!$BZ$88+'Quarterly Data 2001-2021'!$CA$88+'Quarterly Data 2001-2021'!$CB$88+'Quarterly Data 2001-2021'!$CC$88+'Quarterly Data 2001-2021'!$CD$88)/5)</f>
        <v>3.4194682738488452E-3</v>
      </c>
      <c r="V128" s="109">
        <f t="shared" si="42"/>
        <v>4.1969773104949093E-2</v>
      </c>
    </row>
    <row r="129" spans="1:22" ht="15" x14ac:dyDescent="0.2">
      <c r="A129" s="43" t="s">
        <v>230</v>
      </c>
      <c r="B129" s="135">
        <f>B17/(('Quarterly Data 2001-2021'!B84+B83)/2)</f>
        <v>3.1372549019607846E-3</v>
      </c>
      <c r="C129" s="132">
        <f t="shared" ref="C129:S129" si="43">C17/((B83+C83)/2)</f>
        <v>6.0606060606060606E-3</v>
      </c>
      <c r="D129" s="132">
        <f t="shared" si="43"/>
        <v>4.3181818181818182E-3</v>
      </c>
      <c r="E129" s="132">
        <f t="shared" si="43"/>
        <v>9.1478696741854638E-3</v>
      </c>
      <c r="F129" s="132">
        <f t="shared" si="43"/>
        <v>1.3311884174542528E-2</v>
      </c>
      <c r="G129" s="132">
        <f t="shared" si="43"/>
        <v>8.5714285714285719E-3</v>
      </c>
      <c r="H129" s="132">
        <f t="shared" si="43"/>
        <v>8.8535688954800434E-3</v>
      </c>
      <c r="I129" s="132">
        <f t="shared" si="43"/>
        <v>5.4404377703712705E-3</v>
      </c>
      <c r="J129" s="132">
        <f t="shared" si="43"/>
        <v>4.9879195020265396E-3</v>
      </c>
      <c r="K129" s="132">
        <f t="shared" si="43"/>
        <v>5.2508751458576431E-3</v>
      </c>
      <c r="L129" s="132">
        <f t="shared" si="43"/>
        <v>4.2795051822133072E-3</v>
      </c>
      <c r="M129" s="132">
        <f t="shared" si="43"/>
        <v>3.7555379514714079E-3</v>
      </c>
      <c r="N129" s="132">
        <f t="shared" si="43"/>
        <v>3.5029262249562133E-3</v>
      </c>
      <c r="O129" s="132">
        <f t="shared" si="43"/>
        <v>3.3366102739424532E-3</v>
      </c>
      <c r="P129" s="132">
        <f t="shared" si="43"/>
        <v>3.5834502229477793E-3</v>
      </c>
      <c r="Q129" s="132">
        <f t="shared" si="43"/>
        <v>3.1076073650150729E-3</v>
      </c>
      <c r="R129" s="132">
        <f t="shared" si="43"/>
        <v>3.444243303442849E-3</v>
      </c>
      <c r="S129" s="132">
        <f t="shared" si="43"/>
        <v>3.7298106267158347E-3</v>
      </c>
      <c r="T129" s="132">
        <v>3.3500000000000001E-3</v>
      </c>
      <c r="U129" s="132">
        <v>3.475778010295652E-3</v>
      </c>
      <c r="V129" s="88">
        <f t="shared" si="42"/>
        <v>-6.0829721362449796E-3</v>
      </c>
    </row>
    <row r="130" spans="1:22" x14ac:dyDescent="0.2">
      <c r="A130" s="10"/>
      <c r="B130" s="145"/>
      <c r="C130" s="142"/>
      <c r="D130" s="142"/>
      <c r="E130" s="142"/>
      <c r="F130" s="142"/>
      <c r="G130" s="142"/>
      <c r="H130" s="142"/>
      <c r="I130" s="142"/>
      <c r="J130" s="142"/>
      <c r="K130" s="142"/>
      <c r="L130" s="142"/>
      <c r="M130" s="142"/>
      <c r="N130" s="142"/>
      <c r="O130" s="142"/>
      <c r="P130" s="146"/>
      <c r="Q130" s="147"/>
      <c r="R130" s="147"/>
      <c r="S130" s="147"/>
      <c r="T130" s="147"/>
      <c r="U130" s="147"/>
      <c r="V130" s="34"/>
    </row>
    <row r="131" spans="1:22" x14ac:dyDescent="0.2">
      <c r="A131" s="237" t="s">
        <v>130</v>
      </c>
      <c r="B131" s="74"/>
      <c r="C131" s="28"/>
      <c r="D131" s="28"/>
      <c r="E131" s="28"/>
      <c r="F131" s="28"/>
      <c r="G131" s="28"/>
      <c r="H131" s="28"/>
      <c r="I131" s="28"/>
      <c r="J131" s="28"/>
      <c r="K131" s="28"/>
      <c r="L131" s="28"/>
      <c r="M131" s="28"/>
      <c r="N131" s="28"/>
      <c r="O131" s="28"/>
      <c r="P131" s="99"/>
      <c r="Q131" s="110"/>
      <c r="R131" s="110"/>
      <c r="S131" s="110"/>
      <c r="T131" s="110"/>
      <c r="U131" s="110"/>
      <c r="V131" s="34"/>
    </row>
    <row r="132" spans="1:22" x14ac:dyDescent="0.2">
      <c r="A132" s="35" t="s">
        <v>122</v>
      </c>
      <c r="B132" s="76">
        <f>'Quarterly Data 2001-2021'!F133</f>
        <v>65</v>
      </c>
      <c r="C132" s="37">
        <f>'Quarterly Data 2001-2021'!J133</f>
        <v>53</v>
      </c>
      <c r="D132" s="37">
        <f>'Quarterly Data 2001-2021'!N133</f>
        <v>61</v>
      </c>
      <c r="E132" s="37">
        <f>'Quarterly Data 2001-2021'!R133</f>
        <v>73</v>
      </c>
      <c r="F132" s="37">
        <f>'Quarterly Data 2001-2021'!V133</f>
        <v>94</v>
      </c>
      <c r="G132" s="37">
        <f>'Quarterly Data 2001-2021'!Z133</f>
        <v>157</v>
      </c>
      <c r="H132" s="37">
        <f>'Quarterly Data 2001-2021'!AD133</f>
        <v>210</v>
      </c>
      <c r="I132" s="37">
        <f>'Quarterly Data 2001-2021'!AH133</f>
        <v>192</v>
      </c>
      <c r="J132" s="37">
        <f>'Quarterly Data 2001-2021'!AL133</f>
        <v>194</v>
      </c>
      <c r="K132" s="37">
        <f>'Quarterly Data 2001-2021'!AP133</f>
        <v>244</v>
      </c>
      <c r="L132" s="37">
        <f>'Quarterly Data 2001-2021'!AT133</f>
        <v>260</v>
      </c>
      <c r="M132" s="37">
        <f>+'Quarterly Data 2001-2021'!AX133</f>
        <v>262</v>
      </c>
      <c r="N132" s="37">
        <f>+'Quarterly Data 2001-2021'!BB133</f>
        <v>264</v>
      </c>
      <c r="O132" s="37">
        <f>+'Quarterly Data 2001-2021'!BF133</f>
        <v>296</v>
      </c>
      <c r="P132" s="37">
        <f>+'Quarterly Data 2001-2021'!BJ133</f>
        <v>334</v>
      </c>
      <c r="Q132" s="38">
        <f>+'Quarterly Data 2001-2021'!BN133</f>
        <v>365</v>
      </c>
      <c r="R132" s="38">
        <f>+'Quarterly Data 2001-2021'!BR133</f>
        <v>390</v>
      </c>
      <c r="S132" s="38">
        <f>+'Quarterly Data 2001-2021'!BV133</f>
        <v>422</v>
      </c>
      <c r="T132" s="38">
        <f>+'Quarterly Data 2001-2021'!BZ133</f>
        <v>445</v>
      </c>
      <c r="U132" s="38">
        <f>+'Quarterly Data 2001-2021'!CD133</f>
        <v>510</v>
      </c>
      <c r="V132" s="42">
        <f t="shared" ref="V132:V136" si="44">+((U132/P132)^(1/5))-1</f>
        <v>8.8340377580624185E-2</v>
      </c>
    </row>
    <row r="133" spans="1:22" x14ac:dyDescent="0.2">
      <c r="A133" s="43" t="s">
        <v>123</v>
      </c>
      <c r="B133" s="49">
        <v>64</v>
      </c>
      <c r="C133" s="45">
        <v>62</v>
      </c>
      <c r="D133" s="45">
        <v>56</v>
      </c>
      <c r="E133" s="45">
        <v>74</v>
      </c>
      <c r="F133" s="45">
        <v>93</v>
      </c>
      <c r="G133" s="45">
        <v>129</v>
      </c>
      <c r="H133" s="45">
        <v>178</v>
      </c>
      <c r="I133" s="45">
        <v>196</v>
      </c>
      <c r="J133" s="45">
        <v>185</v>
      </c>
      <c r="K133" s="45">
        <f>AVERAGE('Quarterly Data 2001-2021'!AL133:AP133)</f>
        <v>224.8</v>
      </c>
      <c r="L133" s="45">
        <f>AVERAGE('Quarterly Data 2001-2021'!AP133:AT133)</f>
        <v>255.6</v>
      </c>
      <c r="M133" s="45">
        <f>+('Quarterly Data 2001-2021'!AT133+'Quarterly Data 2001-2021'!AU133+'Quarterly Data 2001-2021'!AV133+'Quarterly Data 2001-2021'!AW133+271)/5</f>
        <v>269.2</v>
      </c>
      <c r="N133" s="45">
        <f>+('Quarterly Data 2001-2021'!AX133+'Quarterly Data 2001-2021'!AY133+'Quarterly Data 2001-2021'!AZ133+'Quarterly Data 2001-2021'!BA133+'Quarterly Data 2001-2021'!BB133)/5</f>
        <v>266.60000000000002</v>
      </c>
      <c r="O133" s="45">
        <f>+('Quarterly Data 2001-2021'!BB133+'Quarterly Data 2001-2021'!BC133+'Quarterly Data 2001-2021'!BD133+'Quarterly Data 2001-2021'!BE133+'Quarterly Data 2001-2021'!BF133)/5</f>
        <v>282.60000000000002</v>
      </c>
      <c r="P133" s="45">
        <f>+('Quarterly Data 2001-2021'!BF133+'Quarterly Data 2001-2021'!BG133+'Quarterly Data 2001-2021'!BH133+'Quarterly Data 2001-2021'!BI133+'Quarterly Data 2001-2021'!BJ133)/5</f>
        <v>322.8</v>
      </c>
      <c r="Q133" s="45">
        <f>+('Quarterly Data 2001-2021'!BJ133+'Quarterly Data 2001-2021'!BK133+'Quarterly Data 2001-2021'!BL133+'Quarterly Data 2001-2021'!BM133+'Quarterly Data 2001-2021'!BN133)/5</f>
        <v>343.2</v>
      </c>
      <c r="R133" s="45">
        <f>+('Quarterly Data 2001-2021'!BN133+'Quarterly Data 2001-2021'!BO133+'Quarterly Data 2001-2021'!BP133+'Quarterly Data 2001-2021'!BQ133+'Quarterly Data 2001-2021'!BR133)/5</f>
        <v>382.6</v>
      </c>
      <c r="S133" s="45">
        <f>+('Quarterly Data 2001-2021'!BR133+'Quarterly Data 2001-2021'!BS133+'Quarterly Data 2001-2021'!BT133+'Quarterly Data 2001-2021'!BU133+'Quarterly Data 2001-2021'!BV133)/5</f>
        <v>406</v>
      </c>
      <c r="T133" s="45">
        <f>+('Quarterly Data 2001-2021'!BV133+'Quarterly Data 2001-2021'!BW133+'Quarterly Data 2001-2021'!BX133+'Quarterly Data 2001-2021'!BY133+'Quarterly Data 2001-2021'!BZ133)/5</f>
        <v>429.2</v>
      </c>
      <c r="U133" s="45">
        <f>+('Quarterly Data 2001-2021'!BZ133+'Quarterly Data 2001-2021'!CA133+'Quarterly Data 2001-2021'!CB133+'Quarterly Data 2001-2021'!CC133+'Quarterly Data 2001-2021'!CD133)/5</f>
        <v>477.8</v>
      </c>
      <c r="V133" s="88">
        <f t="shared" si="44"/>
        <v>8.1589652806952184E-2</v>
      </c>
    </row>
    <row r="134" spans="1:22" x14ac:dyDescent="0.2">
      <c r="A134" s="43" t="s">
        <v>86</v>
      </c>
      <c r="B134" s="96">
        <f t="shared" ref="B134:U134" si="45">+B31/B133</f>
        <v>1.4828125000000001</v>
      </c>
      <c r="C134" s="93">
        <f t="shared" si="45"/>
        <v>1.97741935483871</v>
      </c>
      <c r="D134" s="93">
        <f t="shared" si="45"/>
        <v>2.6703928571428572</v>
      </c>
      <c r="E134" s="93">
        <f t="shared" si="45"/>
        <v>2.8353513513513509</v>
      </c>
      <c r="F134" s="93">
        <f t="shared" si="45"/>
        <v>3.0521935483870966</v>
      </c>
      <c r="G134" s="93">
        <f t="shared" si="45"/>
        <v>3.5104108527131781</v>
      </c>
      <c r="H134" s="93">
        <f t="shared" si="45"/>
        <v>3.1150202528089888</v>
      </c>
      <c r="I134" s="93">
        <f t="shared" si="45"/>
        <v>2.582179270408163</v>
      </c>
      <c r="J134" s="93">
        <f t="shared" si="45"/>
        <v>2.7507191836756757</v>
      </c>
      <c r="K134" s="93">
        <f t="shared" si="45"/>
        <v>2.7302332161032026</v>
      </c>
      <c r="L134" s="93">
        <f t="shared" si="45"/>
        <v>2.6689679928794989</v>
      </c>
      <c r="M134" s="93">
        <f t="shared" si="45"/>
        <v>2.0454905830237742</v>
      </c>
      <c r="N134" s="93">
        <f t="shared" si="45"/>
        <v>2.1727440622655663</v>
      </c>
      <c r="O134" s="93">
        <f t="shared" si="45"/>
        <v>2.3993370336164186</v>
      </c>
      <c r="P134" s="93">
        <f t="shared" si="45"/>
        <v>2.7779151177199504</v>
      </c>
      <c r="Q134" s="93">
        <f t="shared" si="45"/>
        <v>2.6474441706002345</v>
      </c>
      <c r="R134" s="93">
        <f t="shared" si="45"/>
        <v>2.5495951482749617</v>
      </c>
      <c r="S134" s="93">
        <f t="shared" si="45"/>
        <v>2.5837360223645325</v>
      </c>
      <c r="T134" s="93">
        <f t="shared" si="45"/>
        <v>2.7806372996971067</v>
      </c>
      <c r="U134" s="93">
        <f t="shared" si="45"/>
        <v>4.9158226648541099</v>
      </c>
      <c r="V134" s="88">
        <f t="shared" si="44"/>
        <v>0.12092214002990609</v>
      </c>
    </row>
    <row r="135" spans="1:22" x14ac:dyDescent="0.2">
      <c r="A135" s="43" t="s">
        <v>87</v>
      </c>
      <c r="B135" s="96">
        <f t="shared" ref="B135:R135" si="46">-B37/B133</f>
        <v>1.3360515624999998</v>
      </c>
      <c r="C135" s="93">
        <f t="shared" si="46"/>
        <v>1.5423225806451613</v>
      </c>
      <c r="D135" s="93">
        <f t="shared" si="46"/>
        <v>1.6190535714285714</v>
      </c>
      <c r="E135" s="93">
        <f t="shared" si="46"/>
        <v>1.4686216216216217</v>
      </c>
      <c r="F135" s="93">
        <f t="shared" si="46"/>
        <v>1.4756344086021502</v>
      </c>
      <c r="G135" s="93">
        <f t="shared" si="46"/>
        <v>1.619968992248062</v>
      </c>
      <c r="H135" s="93">
        <f t="shared" si="46"/>
        <v>1.3855142923651687</v>
      </c>
      <c r="I135" s="93">
        <f t="shared" si="46"/>
        <v>1.360257783283163</v>
      </c>
      <c r="J135" s="93">
        <f t="shared" si="46"/>
        <v>1.2372028617207187</v>
      </c>
      <c r="K135" s="93">
        <f t="shared" si="46"/>
        <v>1.2569092312237855</v>
      </c>
      <c r="L135" s="93">
        <f t="shared" si="46"/>
        <v>1.3165727969483567</v>
      </c>
      <c r="M135" s="93">
        <f t="shared" si="46"/>
        <v>1.2989670129633581</v>
      </c>
      <c r="N135" s="93">
        <f t="shared" si="46"/>
        <v>1.3238559639909979</v>
      </c>
      <c r="O135" s="93">
        <f t="shared" si="46"/>
        <v>1.3543524416135879</v>
      </c>
      <c r="P135" s="93">
        <f t="shared" si="46"/>
        <v>1.2732342007434945</v>
      </c>
      <c r="Q135" s="93">
        <f t="shared" si="46"/>
        <v>1.2913752913752914</v>
      </c>
      <c r="R135" s="93">
        <f t="shared" si="46"/>
        <v>1.397804495556717</v>
      </c>
      <c r="S135" s="93">
        <f>-(S37+35)/S133</f>
        <v>1.4637936745007263</v>
      </c>
      <c r="T135" s="93">
        <f>-T37/T133</f>
        <v>1.5506106600802574</v>
      </c>
      <c r="U135" s="93">
        <f>-U37/U133</f>
        <v>1.5960503310572487</v>
      </c>
      <c r="V135" s="88">
        <f t="shared" si="44"/>
        <v>4.6231176472972368E-2</v>
      </c>
    </row>
    <row r="136" spans="1:22" x14ac:dyDescent="0.2">
      <c r="A136" s="10" t="s">
        <v>88</v>
      </c>
      <c r="B136" s="160">
        <f t="shared" ref="B136:R136" si="47">+B43/B133</f>
        <v>0.1467609375000003</v>
      </c>
      <c r="C136" s="157">
        <f t="shared" si="47"/>
        <v>0.43348387096774238</v>
      </c>
      <c r="D136" s="157">
        <f t="shared" si="47"/>
        <v>1.0513392857142858</v>
      </c>
      <c r="E136" s="157">
        <f t="shared" si="47"/>
        <v>1.3667297297297294</v>
      </c>
      <c r="F136" s="157">
        <f t="shared" si="47"/>
        <v>1.5776344086021505</v>
      </c>
      <c r="G136" s="157">
        <f t="shared" si="47"/>
        <v>1.8904418604651161</v>
      </c>
      <c r="H136" s="157">
        <f t="shared" si="47"/>
        <v>1.72135989302809</v>
      </c>
      <c r="I136" s="157">
        <f t="shared" si="47"/>
        <v>1.2219214871249999</v>
      </c>
      <c r="J136" s="157">
        <f t="shared" si="47"/>
        <v>1.513516321954957</v>
      </c>
      <c r="K136" s="157">
        <f t="shared" si="47"/>
        <v>1.4733239848794173</v>
      </c>
      <c r="L136" s="157">
        <f t="shared" si="47"/>
        <v>1.3289210175273862</v>
      </c>
      <c r="M136" s="157">
        <f t="shared" si="47"/>
        <v>0.74280885980781575</v>
      </c>
      <c r="N136" s="157">
        <f t="shared" si="47"/>
        <v>0.84513716054013466</v>
      </c>
      <c r="O136" s="157">
        <f t="shared" si="47"/>
        <v>1.0464000201698513</v>
      </c>
      <c r="P136" s="157">
        <f t="shared" si="47"/>
        <v>1.5040128190830235</v>
      </c>
      <c r="Q136" s="157">
        <f t="shared" si="47"/>
        <v>1.3545974485722627</v>
      </c>
      <c r="R136" s="157">
        <f t="shared" si="47"/>
        <v>1.1528107468112925</v>
      </c>
      <c r="S136" s="157">
        <f>(S43+35)/S133</f>
        <v>1.1154710594401609</v>
      </c>
      <c r="T136" s="157">
        <f>T43/T133</f>
        <v>1.2115920026177813</v>
      </c>
      <c r="U136" s="157">
        <f>U43/U133</f>
        <v>3.2994715999542494</v>
      </c>
      <c r="V136" s="100">
        <f t="shared" si="44"/>
        <v>0.1701420095424897</v>
      </c>
    </row>
    <row r="137" spans="1:22" x14ac:dyDescent="0.2">
      <c r="A137" s="10"/>
      <c r="B137" s="160"/>
      <c r="C137" s="157"/>
      <c r="D137" s="157"/>
      <c r="E137" s="157"/>
      <c r="F137" s="157"/>
      <c r="G137" s="157"/>
      <c r="H137" s="157"/>
      <c r="I137" s="157"/>
      <c r="J137" s="157"/>
      <c r="K137" s="157"/>
      <c r="L137" s="157"/>
      <c r="M137" s="157"/>
      <c r="N137" s="157"/>
      <c r="O137" s="157"/>
      <c r="P137" s="161"/>
      <c r="Q137" s="162"/>
      <c r="R137" s="162"/>
      <c r="S137" s="162"/>
      <c r="T137" s="162"/>
      <c r="U137" s="162"/>
      <c r="V137" s="100"/>
    </row>
    <row r="138" spans="1:22" x14ac:dyDescent="0.2">
      <c r="A138" s="237" t="s">
        <v>131</v>
      </c>
      <c r="B138" s="74"/>
      <c r="C138" s="28"/>
      <c r="D138" s="28"/>
      <c r="E138" s="28"/>
      <c r="F138" s="28"/>
      <c r="G138" s="28"/>
      <c r="H138" s="28"/>
      <c r="I138" s="28"/>
      <c r="J138" s="28"/>
      <c r="K138" s="28"/>
      <c r="L138" s="28"/>
      <c r="M138" s="28"/>
      <c r="N138" s="28"/>
      <c r="O138" s="28"/>
      <c r="P138" s="99"/>
      <c r="Q138" s="110"/>
      <c r="R138" s="110"/>
      <c r="S138" s="110"/>
      <c r="T138" s="110"/>
      <c r="U138" s="110"/>
      <c r="V138" s="34"/>
    </row>
    <row r="139" spans="1:22" ht="15" x14ac:dyDescent="0.2">
      <c r="A139" s="35" t="s">
        <v>222</v>
      </c>
      <c r="B139" s="173">
        <f>'Quarterly Data 2001-2021'!F140</f>
        <v>3</v>
      </c>
      <c r="C139" s="101">
        <f>'Quarterly Data 2001-2021'!J140</f>
        <v>2.7</v>
      </c>
      <c r="D139" s="101">
        <f>'Quarterly Data 2001-2021'!N140</f>
        <v>5.66</v>
      </c>
      <c r="E139" s="101">
        <f>'Quarterly Data 2001-2021'!R140</f>
        <v>8.5</v>
      </c>
      <c r="F139" s="101">
        <f>'Quarterly Data 2001-2021'!V140</f>
        <v>19.8</v>
      </c>
      <c r="G139" s="101">
        <f>'Quarterly Data 2001-2021'!Z140</f>
        <v>24.65</v>
      </c>
      <c r="H139" s="101">
        <f>'Quarterly Data 2001-2021'!AD140</f>
        <v>27.1</v>
      </c>
      <c r="I139" s="101">
        <f>'Quarterly Data 2001-2021'!AH140</f>
        <v>14.2</v>
      </c>
      <c r="J139" s="101">
        <f>'Quarterly Data 2001-2021'!AL140</f>
        <v>33.700000000000003</v>
      </c>
      <c r="K139" s="101">
        <f>'Quarterly Data 2001-2021'!AP140</f>
        <v>46.8</v>
      </c>
      <c r="L139" s="101">
        <f>'Quarterly Data 2001-2021'!AT140</f>
        <v>32.9</v>
      </c>
      <c r="M139" s="101">
        <f>+'Quarterly Data 2001-2021'!AX140</f>
        <v>26.3</v>
      </c>
      <c r="N139" s="101">
        <f>+'Quarterly Data 2001-2021'!BB140</f>
        <v>41.8</v>
      </c>
      <c r="O139" s="101">
        <f>+'Quarterly Data 2001-2021'!BF140</f>
        <v>51.6</v>
      </c>
      <c r="P139" s="101">
        <f>+'Quarterly Data 2001-2021'!BJ140</f>
        <v>73.5</v>
      </c>
      <c r="Q139" s="101">
        <f>+'Quarterly Data 2001-2021'!BN140</f>
        <v>73.8</v>
      </c>
      <c r="R139" s="101">
        <f>+'Quarterly Data 2001-2021'!BR140</f>
        <v>68.820000000000007</v>
      </c>
      <c r="S139" s="101">
        <f>+'Quarterly Data 2001-2021'!BV140</f>
        <v>84.72</v>
      </c>
      <c r="T139" s="101">
        <f>+'Quarterly Data 2001-2021'!BZ140</f>
        <v>97.8</v>
      </c>
      <c r="U139" s="101">
        <f>+'Quarterly Data 2001-2021'!CD140</f>
        <v>233</v>
      </c>
      <c r="V139" s="42">
        <f t="shared" ref="V139:V152" si="48">+((U139/P139)^(1/5))-1</f>
        <v>0.25954508166061818</v>
      </c>
    </row>
    <row r="140" spans="1:22" x14ac:dyDescent="0.2">
      <c r="A140" s="43" t="s">
        <v>89</v>
      </c>
      <c r="B140" s="49">
        <f t="shared" ref="B140:U140" si="49">+B139*B146/1000000</f>
        <v>399.34311000000002</v>
      </c>
      <c r="C140" s="45">
        <f t="shared" si="49"/>
        <v>359.40879899999999</v>
      </c>
      <c r="D140" s="45">
        <f t="shared" si="49"/>
        <v>753.42733420000002</v>
      </c>
      <c r="E140" s="45">
        <f t="shared" si="49"/>
        <v>1131.472145</v>
      </c>
      <c r="F140" s="45">
        <f t="shared" si="49"/>
        <v>2719.1017259999999</v>
      </c>
      <c r="G140" s="45">
        <f t="shared" si="49"/>
        <v>3385.1443205</v>
      </c>
      <c r="H140" s="45">
        <f t="shared" si="49"/>
        <v>3680.18</v>
      </c>
      <c r="I140" s="45">
        <f t="shared" si="49"/>
        <v>1958.0103099999999</v>
      </c>
      <c r="J140" s="45">
        <f t="shared" si="49"/>
        <v>4646.8272850000003</v>
      </c>
      <c r="K140" s="45">
        <f t="shared" si="49"/>
        <v>6542.0479800000003</v>
      </c>
      <c r="L140" s="45">
        <f t="shared" si="49"/>
        <v>4649.1893104999999</v>
      </c>
      <c r="M140" s="45">
        <f t="shared" si="49"/>
        <v>3796.8977304999999</v>
      </c>
      <c r="N140" s="45">
        <f t="shared" si="49"/>
        <v>6034.6131230000001</v>
      </c>
      <c r="O140" s="45">
        <f t="shared" si="49"/>
        <v>7449.4267259999997</v>
      </c>
      <c r="P140" s="45">
        <f t="shared" si="49"/>
        <v>10783.95234</v>
      </c>
      <c r="Q140" s="45">
        <f t="shared" si="49"/>
        <v>11010.562217999999</v>
      </c>
      <c r="R140" s="45">
        <f t="shared" si="49"/>
        <v>10321.699990200001</v>
      </c>
      <c r="S140" s="45">
        <f t="shared" si="49"/>
        <v>12823.6411056</v>
      </c>
      <c r="T140" s="45">
        <f t="shared" si="49"/>
        <v>15040.302291600001</v>
      </c>
      <c r="U140" s="45">
        <f t="shared" si="49"/>
        <v>36104.284330000002</v>
      </c>
      <c r="V140" s="88">
        <f t="shared" si="48"/>
        <v>0.27337452210451496</v>
      </c>
    </row>
    <row r="141" spans="1:22" ht="15" x14ac:dyDescent="0.2">
      <c r="A141" s="43" t="s">
        <v>223</v>
      </c>
      <c r="B141" s="49" t="s">
        <v>35</v>
      </c>
      <c r="C141" s="45" t="s">
        <v>35</v>
      </c>
      <c r="D141" s="89">
        <v>0.2</v>
      </c>
      <c r="E141" s="89">
        <v>0.3</v>
      </c>
      <c r="F141" s="89">
        <v>0.4</v>
      </c>
      <c r="G141" s="89">
        <v>0.8</v>
      </c>
      <c r="H141" s="89">
        <v>1.2</v>
      </c>
      <c r="I141" s="89">
        <v>1.2</v>
      </c>
      <c r="J141" s="89">
        <v>1.6</v>
      </c>
      <c r="K141" s="89">
        <v>1.9</v>
      </c>
      <c r="L141" s="89">
        <v>2</v>
      </c>
      <c r="M141" s="89">
        <v>1.6</v>
      </c>
      <c r="N141" s="89">
        <v>1.6</v>
      </c>
      <c r="O141" s="89">
        <v>1.4</v>
      </c>
      <c r="P141" s="90">
        <v>2.1</v>
      </c>
      <c r="Q141" s="90">
        <v>2.1</v>
      </c>
      <c r="R141" s="90">
        <v>2.1</v>
      </c>
      <c r="S141" s="90">
        <v>2.1</v>
      </c>
      <c r="T141" s="90">
        <v>2.2999999999999998</v>
      </c>
      <c r="U141" s="95">
        <v>0.85</v>
      </c>
      <c r="V141" s="88">
        <f t="shared" si="48"/>
        <v>-0.16547389556816072</v>
      </c>
    </row>
    <row r="142" spans="1:22" x14ac:dyDescent="0.2">
      <c r="A142" s="43" t="s">
        <v>34</v>
      </c>
      <c r="B142" s="120" t="s">
        <v>35</v>
      </c>
      <c r="C142" s="119" t="s">
        <v>35</v>
      </c>
      <c r="D142" s="119">
        <f t="shared" ref="D142:U142" si="50">+D141/D139</f>
        <v>3.5335689045936397E-2</v>
      </c>
      <c r="E142" s="119">
        <f t="shared" si="50"/>
        <v>3.5294117647058823E-2</v>
      </c>
      <c r="F142" s="119">
        <f t="shared" si="50"/>
        <v>2.0202020202020204E-2</v>
      </c>
      <c r="G142" s="119">
        <f t="shared" si="50"/>
        <v>3.2454361054766741E-2</v>
      </c>
      <c r="H142" s="119">
        <f t="shared" si="50"/>
        <v>4.4280442804428041E-2</v>
      </c>
      <c r="I142" s="119">
        <f t="shared" si="50"/>
        <v>8.4507042253521125E-2</v>
      </c>
      <c r="J142" s="119">
        <f t="shared" si="50"/>
        <v>4.7477744807121663E-2</v>
      </c>
      <c r="K142" s="119">
        <f t="shared" si="50"/>
        <v>4.05982905982906E-2</v>
      </c>
      <c r="L142" s="119">
        <f t="shared" si="50"/>
        <v>6.0790273556231005E-2</v>
      </c>
      <c r="M142" s="119">
        <f t="shared" si="50"/>
        <v>6.0836501901140684E-2</v>
      </c>
      <c r="N142" s="119">
        <f t="shared" si="50"/>
        <v>3.8277511961722493E-2</v>
      </c>
      <c r="O142" s="119">
        <f t="shared" si="50"/>
        <v>2.713178294573643E-2</v>
      </c>
      <c r="P142" s="119">
        <f t="shared" si="50"/>
        <v>2.8571428571428574E-2</v>
      </c>
      <c r="Q142" s="119">
        <f t="shared" si="50"/>
        <v>2.8455284552845531E-2</v>
      </c>
      <c r="R142" s="119">
        <f t="shared" si="50"/>
        <v>3.0514385353095027E-2</v>
      </c>
      <c r="S142" s="119">
        <f t="shared" si="50"/>
        <v>2.4787535410764873E-2</v>
      </c>
      <c r="T142" s="119">
        <f t="shared" si="50"/>
        <v>2.3517382413087932E-2</v>
      </c>
      <c r="U142" s="119">
        <f t="shared" si="50"/>
        <v>3.6480686695278971E-3</v>
      </c>
      <c r="V142" s="88">
        <f t="shared" si="48"/>
        <v>-0.33743847950914341</v>
      </c>
    </row>
    <row r="143" spans="1:22" x14ac:dyDescent="0.2">
      <c r="A143" s="10" t="s">
        <v>47</v>
      </c>
      <c r="B143" s="74">
        <f t="shared" ref="B143:U143" si="51">B140/B47</f>
        <v>59.050454963251454</v>
      </c>
      <c r="C143" s="28">
        <f t="shared" si="51"/>
        <v>18.57340703601724</v>
      </c>
      <c r="D143" s="28">
        <f t="shared" si="51"/>
        <v>17.773704510497758</v>
      </c>
      <c r="E143" s="28">
        <f t="shared" si="51"/>
        <v>15.53806769243784</v>
      </c>
      <c r="F143" s="28">
        <f t="shared" si="51"/>
        <v>25.661586693091731</v>
      </c>
      <c r="G143" s="28">
        <f t="shared" si="51"/>
        <v>17.999672034434543</v>
      </c>
      <c r="H143" s="28">
        <f t="shared" si="51"/>
        <v>15.862703912144859</v>
      </c>
      <c r="I143" s="28">
        <f t="shared" si="51"/>
        <v>10.555504461320332</v>
      </c>
      <c r="J143" s="28">
        <f t="shared" si="51"/>
        <v>20.362912818628708</v>
      </c>
      <c r="K143" s="28">
        <f t="shared" si="51"/>
        <v>24.12230833887304</v>
      </c>
      <c r="L143" s="28">
        <f t="shared" si="51"/>
        <v>16.049828449599492</v>
      </c>
      <c r="M143" s="28">
        <f t="shared" si="51"/>
        <v>23.885246129311607</v>
      </c>
      <c r="N143" s="28">
        <f t="shared" si="51"/>
        <v>31.379029660450335</v>
      </c>
      <c r="O143" s="28">
        <f t="shared" si="51"/>
        <v>29.847534892126514</v>
      </c>
      <c r="P143" s="28">
        <f t="shared" si="51"/>
        <v>25.935722107591307</v>
      </c>
      <c r="Q143" s="28">
        <f t="shared" si="51"/>
        <v>27.602461066044576</v>
      </c>
      <c r="R143" s="28">
        <f t="shared" si="51"/>
        <v>27.301361658544391</v>
      </c>
      <c r="S143" s="28">
        <f t="shared" si="51"/>
        <v>36.735066685723353</v>
      </c>
      <c r="T143" s="28">
        <f t="shared" si="51"/>
        <v>33.652297414211667</v>
      </c>
      <c r="U143" s="28">
        <f t="shared" si="51"/>
        <v>27.05245146474503</v>
      </c>
      <c r="V143" s="109">
        <f t="shared" si="48"/>
        <v>8.4669188977697374E-3</v>
      </c>
    </row>
    <row r="144" spans="1:22" x14ac:dyDescent="0.2">
      <c r="A144" s="43" t="s">
        <v>36</v>
      </c>
      <c r="B144" s="118">
        <f t="shared" ref="B144:U144" si="52">+B140/B60</f>
        <v>2.2409826599326603</v>
      </c>
      <c r="C144" s="117">
        <f t="shared" si="52"/>
        <v>1.8719208281249999</v>
      </c>
      <c r="D144" s="117">
        <f t="shared" si="52"/>
        <v>3.3001635313184408</v>
      </c>
      <c r="E144" s="117">
        <f t="shared" si="52"/>
        <v>4.2377233895131088</v>
      </c>
      <c r="F144" s="117">
        <f t="shared" si="52"/>
        <v>7.6875932315521629</v>
      </c>
      <c r="G144" s="117">
        <f t="shared" si="52"/>
        <v>6.9254180042962359</v>
      </c>
      <c r="H144" s="117">
        <f t="shared" si="52"/>
        <v>6.4226527050610818</v>
      </c>
      <c r="I144" s="117">
        <f t="shared" si="52"/>
        <v>3.1178508121019108</v>
      </c>
      <c r="J144" s="117">
        <f t="shared" si="52"/>
        <v>6.7053784776334782</v>
      </c>
      <c r="K144" s="117">
        <f t="shared" si="52"/>
        <v>8.0467994833948335</v>
      </c>
      <c r="L144" s="117">
        <f t="shared" si="52"/>
        <v>5.3111740432507766</v>
      </c>
      <c r="M144" s="117">
        <f t="shared" si="52"/>
        <v>4.5856252783816425</v>
      </c>
      <c r="N144" s="117">
        <f t="shared" si="52"/>
        <v>7.6002684168765748</v>
      </c>
      <c r="O144" s="117">
        <f t="shared" si="52"/>
        <v>9.1404008907975456</v>
      </c>
      <c r="P144" s="117">
        <f t="shared" si="52"/>
        <v>9.5772223268206034</v>
      </c>
      <c r="Q144" s="117">
        <f t="shared" si="52"/>
        <v>8.4178610229357798</v>
      </c>
      <c r="R144" s="117">
        <f t="shared" si="52"/>
        <v>7.2331464542396642</v>
      </c>
      <c r="S144" s="117">
        <f t="shared" si="52"/>
        <v>7.9437614068207143</v>
      </c>
      <c r="T144" s="117">
        <f t="shared" si="52"/>
        <v>7.7315413276116542</v>
      </c>
      <c r="U144" s="117">
        <f t="shared" si="52"/>
        <v>11.381645236005712</v>
      </c>
      <c r="V144" s="88">
        <f t="shared" si="48"/>
        <v>3.512570886245947E-2</v>
      </c>
    </row>
    <row r="145" spans="1:22" x14ac:dyDescent="0.2">
      <c r="A145" s="35" t="s">
        <v>48</v>
      </c>
      <c r="B145" s="183">
        <f t="shared" ref="B145:U145" si="53">B140/B87</f>
        <v>4.6508794139569556E-2</v>
      </c>
      <c r="C145" s="163">
        <f t="shared" si="53"/>
        <v>5.3120619429787609E-2</v>
      </c>
      <c r="D145" s="163">
        <f t="shared" si="53"/>
        <v>6.5485809390536456E-2</v>
      </c>
      <c r="E145" s="163">
        <f t="shared" si="53"/>
        <v>6.5395453993757943E-2</v>
      </c>
      <c r="F145" s="163">
        <f t="shared" si="53"/>
        <v>8.5319874048855479E-2</v>
      </c>
      <c r="G145" s="163">
        <f t="shared" si="53"/>
        <v>7.4358410280572967E-2</v>
      </c>
      <c r="H145" s="163">
        <f t="shared" si="53"/>
        <v>7.6371295758280069E-2</v>
      </c>
      <c r="I145" s="163">
        <f t="shared" si="53"/>
        <v>5.4537483905538454E-2</v>
      </c>
      <c r="J145" s="163">
        <f t="shared" si="53"/>
        <v>7.2129942489483581E-2</v>
      </c>
      <c r="K145" s="163">
        <f t="shared" si="53"/>
        <v>7.6168636030225056E-2</v>
      </c>
      <c r="L145" s="163">
        <f t="shared" si="53"/>
        <v>6.0550510673074417E-2</v>
      </c>
      <c r="M145" s="163">
        <f t="shared" si="53"/>
        <v>4.2821027986105625E-2</v>
      </c>
      <c r="N145" s="163">
        <f t="shared" si="53"/>
        <v>5.2093931535466716E-2</v>
      </c>
      <c r="O145" s="163">
        <f t="shared" si="53"/>
        <v>5.0581499202378422E-2</v>
      </c>
      <c r="P145" s="163">
        <f t="shared" si="53"/>
        <v>5.4412413224062275E-2</v>
      </c>
      <c r="Q145" s="163">
        <f t="shared" si="53"/>
        <v>4.604136493759016E-2</v>
      </c>
      <c r="R145" s="163">
        <f t="shared" si="53"/>
        <v>3.6481332214552631E-2</v>
      </c>
      <c r="S145" s="163">
        <f t="shared" si="53"/>
        <v>4.2748419445560605E-2</v>
      </c>
      <c r="T145" s="163">
        <f t="shared" si="53"/>
        <v>3.6888917348488003E-2</v>
      </c>
      <c r="U145" s="163">
        <f t="shared" si="53"/>
        <v>6.328432201287118E-2</v>
      </c>
      <c r="V145" s="88">
        <f t="shared" si="48"/>
        <v>3.0669985123533472E-2</v>
      </c>
    </row>
    <row r="146" spans="1:22" ht="15" x14ac:dyDescent="0.2">
      <c r="A146" s="35" t="s">
        <v>224</v>
      </c>
      <c r="B146" s="76">
        <f>'Quarterly Data 2001-2021'!F145</f>
        <v>133114370</v>
      </c>
      <c r="C146" s="37">
        <f>'Quarterly Data 2001-2021'!J145</f>
        <v>133114370</v>
      </c>
      <c r="D146" s="37">
        <f>'Quarterly Data 2001-2021'!N145</f>
        <v>133114370</v>
      </c>
      <c r="E146" s="37">
        <f>'Quarterly Data 2001-2021'!R145</f>
        <v>133114370</v>
      </c>
      <c r="F146" s="37">
        <f>'Quarterly Data 2001-2021'!V145</f>
        <v>137328370</v>
      </c>
      <c r="G146" s="37">
        <f>'Quarterly Data 2001-2021'!Z145</f>
        <v>137328370</v>
      </c>
      <c r="H146" s="37">
        <f>'Quarterly Data 2001-2021'!AD145</f>
        <v>135800000</v>
      </c>
      <c r="I146" s="37">
        <f>'Quarterly Data 2001-2021'!AH145</f>
        <v>137888050</v>
      </c>
      <c r="J146" s="37">
        <f>'Quarterly Data 2001-2021'!AL145</f>
        <v>137888050</v>
      </c>
      <c r="K146" s="37">
        <f>'Quarterly Data 2001-2021'!AP145</f>
        <v>139787350</v>
      </c>
      <c r="L146" s="37">
        <f>'Quarterly Data 2001-2021'!AT145</f>
        <v>141312745</v>
      </c>
      <c r="M146" s="37">
        <f>'Quarterly Data 2001-2021'!AX145</f>
        <v>144368735</v>
      </c>
      <c r="N146" s="37">
        <f>'Quarterly Data 2001-2021'!BB145</f>
        <v>144368735</v>
      </c>
      <c r="O146" s="37">
        <f>'Quarterly Data 2001-2021'!BF145</f>
        <v>144368735</v>
      </c>
      <c r="P146" s="37">
        <f>'Quarterly Data 2001-2021'!BJ145</f>
        <v>146720440</v>
      </c>
      <c r="Q146" s="37">
        <f>'Quarterly Data 2001-2021'!BN145</f>
        <v>149194610</v>
      </c>
      <c r="R146" s="37">
        <f>'Quarterly Data 2001-2021'!BR145</f>
        <v>149981110</v>
      </c>
      <c r="S146" s="37">
        <f>+'Quarterly Data 2001-2021'!BV145</f>
        <v>151364980</v>
      </c>
      <c r="T146" s="37">
        <f>+'Quarterly Data 2001-2021'!BZ145</f>
        <v>153786322</v>
      </c>
      <c r="U146" s="37">
        <f>+'Quarterly Data 2001-2021'!CD145</f>
        <v>154954010</v>
      </c>
      <c r="V146" s="42">
        <f t="shared" si="48"/>
        <v>1.0979710567932566E-2</v>
      </c>
    </row>
    <row r="147" spans="1:22" ht="15" x14ac:dyDescent="0.2">
      <c r="A147" s="43" t="s">
        <v>225</v>
      </c>
      <c r="B147" s="49">
        <v>114485675</v>
      </c>
      <c r="C147" s="45">
        <v>133114370</v>
      </c>
      <c r="D147" s="45">
        <v>133114370</v>
      </c>
      <c r="E147" s="45">
        <v>133114370</v>
      </c>
      <c r="F147" s="45">
        <v>136485570</v>
      </c>
      <c r="G147" s="45">
        <v>137328370</v>
      </c>
      <c r="H147" s="45">
        <v>137025000</v>
      </c>
      <c r="I147" s="45">
        <v>136755000</v>
      </c>
      <c r="J147" s="45">
        <v>137888050</v>
      </c>
      <c r="K147" s="45">
        <v>138693105</v>
      </c>
      <c r="L147" s="45">
        <v>141315275</v>
      </c>
      <c r="M147" s="45">
        <v>143327193.03278688</v>
      </c>
      <c r="N147" s="37">
        <v>144368735</v>
      </c>
      <c r="O147" s="37">
        <v>144368735</v>
      </c>
      <c r="P147" s="37">
        <v>145858796.13698629</v>
      </c>
      <c r="Q147" s="37">
        <v>148300714.97267759</v>
      </c>
      <c r="R147" s="37">
        <v>149448718.35616437</v>
      </c>
      <c r="S147" s="38">
        <v>150432154.63013697</v>
      </c>
      <c r="T147" s="38">
        <v>152114600.94794521</v>
      </c>
      <c r="U147" s="38">
        <v>154150028.09836066</v>
      </c>
      <c r="V147" s="88">
        <f t="shared" si="48"/>
        <v>1.1118826263714743E-2</v>
      </c>
    </row>
    <row r="148" spans="1:22" ht="15" x14ac:dyDescent="0.2">
      <c r="A148" s="104" t="s">
        <v>226</v>
      </c>
      <c r="B148" s="164">
        <v>114735050</v>
      </c>
      <c r="C148" s="106">
        <v>133517520</v>
      </c>
      <c r="D148" s="106">
        <v>134011870</v>
      </c>
      <c r="E148" s="106">
        <v>135541415</v>
      </c>
      <c r="F148" s="106">
        <v>137204960</v>
      </c>
      <c r="G148" s="106">
        <v>138185545</v>
      </c>
      <c r="H148" s="106">
        <v>138050000</v>
      </c>
      <c r="I148" s="106">
        <v>137405000</v>
      </c>
      <c r="J148" s="106">
        <v>138275000</v>
      </c>
      <c r="K148" s="106">
        <v>140886075</v>
      </c>
      <c r="L148" s="106">
        <v>142364460</v>
      </c>
      <c r="M148" s="106">
        <v>143327193.03278688</v>
      </c>
      <c r="N148" s="106">
        <v>144368735</v>
      </c>
      <c r="O148" s="106">
        <v>145696417.55459028</v>
      </c>
      <c r="P148" s="107">
        <v>147206402.84316832</v>
      </c>
      <c r="Q148" s="107">
        <v>148408693.52709058</v>
      </c>
      <c r="R148" s="107">
        <v>149448718.35616437</v>
      </c>
      <c r="S148" s="107">
        <v>150827418.5019708</v>
      </c>
      <c r="T148" s="107">
        <v>152114600.94794521</v>
      </c>
      <c r="U148" s="107">
        <v>155581076.79044038</v>
      </c>
      <c r="V148" s="109">
        <f t="shared" si="48"/>
        <v>1.1127714912040565E-2</v>
      </c>
    </row>
    <row r="149" spans="1:22" s="425" customFormat="1" x14ac:dyDescent="0.2">
      <c r="A149" s="64"/>
      <c r="B149" s="184"/>
      <c r="C149" s="16"/>
      <c r="D149" s="16"/>
      <c r="E149" s="16"/>
      <c r="F149" s="16"/>
      <c r="G149" s="16"/>
      <c r="H149" s="16"/>
      <c r="I149" s="16"/>
      <c r="J149" s="16"/>
      <c r="K149" s="16"/>
      <c r="L149" s="16"/>
      <c r="M149" s="16"/>
      <c r="N149" s="16"/>
      <c r="O149" s="16"/>
      <c r="P149" s="185"/>
      <c r="Q149" s="185"/>
      <c r="R149" s="185"/>
      <c r="S149" s="185"/>
      <c r="T149" s="185"/>
      <c r="U149" s="185"/>
      <c r="V149" s="186"/>
    </row>
    <row r="150" spans="1:22" x14ac:dyDescent="0.2">
      <c r="A150" s="237" t="s">
        <v>132</v>
      </c>
      <c r="B150" s="168"/>
      <c r="C150" s="165"/>
      <c r="D150" s="165"/>
      <c r="E150" s="165"/>
      <c r="F150" s="165"/>
      <c r="G150" s="165"/>
      <c r="H150" s="165"/>
      <c r="I150" s="165"/>
      <c r="J150" s="165"/>
      <c r="K150" s="165"/>
      <c r="L150" s="165"/>
      <c r="M150" s="165"/>
      <c r="N150" s="165"/>
      <c r="O150" s="165"/>
      <c r="P150" s="169"/>
      <c r="Q150" s="169"/>
      <c r="R150" s="169"/>
      <c r="S150" s="187"/>
      <c r="T150" s="185"/>
      <c r="U150" s="185"/>
      <c r="V150" s="186"/>
    </row>
    <row r="151" spans="1:22" x14ac:dyDescent="0.2">
      <c r="A151" s="35" t="s">
        <v>137</v>
      </c>
      <c r="B151" s="183">
        <f>SUM('Quarterly Data 2001-2021'!C150:F150)/4</f>
        <v>5.5449999999999999E-2</v>
      </c>
      <c r="C151" s="163">
        <f>SUM('Quarterly Data 2001-2021'!G150:J150)/4</f>
        <v>5.1850000000000007E-2</v>
      </c>
      <c r="D151" s="163">
        <f>SUM('Quarterly Data 2001-2021'!K150:N150)/4</f>
        <v>6.7824999999999996E-2</v>
      </c>
      <c r="E151" s="163">
        <f>SUM('Quarterly Data 2001-2021'!O150:R150)/4</f>
        <v>8.3374999999999991E-2</v>
      </c>
      <c r="F151" s="163">
        <f>SUM('Quarterly Data 2001-2021'!S150:V150)/4</f>
        <v>9.4799999999999995E-2</v>
      </c>
      <c r="G151" s="163">
        <f>SUM('Quarterly Data 2001-2021'!W150:Z150)/4</f>
        <v>0.10010000000000001</v>
      </c>
      <c r="H151" s="163">
        <f>SUM('Quarterly Data 2001-2021'!AA150:AD150)/4</f>
        <v>8.4750000000000006E-2</v>
      </c>
      <c r="I151" s="163">
        <f>SUM('Quarterly Data 2001-2021'!AE150:AH150)/4</f>
        <v>8.9749999999999996E-2</v>
      </c>
      <c r="J151" s="163">
        <f>SUM('Quarterly Data 2001-2021'!AI150:AL150)/4</f>
        <v>0.11674999999999999</v>
      </c>
      <c r="K151" s="163">
        <f>SUM('Quarterly Data 2001-2021'!AM150:AP150)/4</f>
        <v>9.1249999999999998E-2</v>
      </c>
      <c r="L151" s="163">
        <f>SUM('Quarterly Data 2001-2021'!AQ150:AT150)/4</f>
        <v>7.0999999999999994E-2</v>
      </c>
      <c r="M151" s="163">
        <f>SUM('Quarterly Data 2001-2021'!AU150:AX150)/4</f>
        <v>6.3500000000000001E-2</v>
      </c>
      <c r="N151" s="163">
        <f>SUM('Quarterly Data 2001-2021'!AY150:BB150)/4</f>
        <v>7.325000000000001E-2</v>
      </c>
      <c r="O151" s="163">
        <f>SUM('Quarterly Data 2001-2021'!BC150:BF150)/4</f>
        <v>7.5999999999999998E-2</v>
      </c>
      <c r="P151" s="163">
        <f>SUM('Quarterly Data 2001-2021'!BG150:BJ150)/4</f>
        <v>0.10926856429891302</v>
      </c>
      <c r="Q151" s="163">
        <f>SUM('Quarterly Data 2001-2021'!BK150:BN150)/4</f>
        <v>0.13523517367736637</v>
      </c>
      <c r="R151" s="163">
        <f>SUM('Quarterly Data 2001-2021'!BO150:BR150)/4</f>
        <v>0.14163224756659443</v>
      </c>
      <c r="S151" s="163">
        <v>0.11899999999999999</v>
      </c>
      <c r="T151" s="163">
        <v>0.13700000000000001</v>
      </c>
      <c r="U151" s="163">
        <v>0.18099999999999999</v>
      </c>
      <c r="V151" s="100">
        <f t="shared" si="48"/>
        <v>0.10620767570521794</v>
      </c>
    </row>
    <row r="152" spans="1:22" x14ac:dyDescent="0.2">
      <c r="A152" s="43" t="s">
        <v>138</v>
      </c>
      <c r="B152" s="125">
        <f>SUM('Quarterly Data 2001-2021'!C151:F151)/4</f>
        <v>7.7750000000000007E-3</v>
      </c>
      <c r="C152" s="122">
        <f>SUM('Quarterly Data 2001-2021'!G151:J151)/4</f>
        <v>8.3000000000000001E-3</v>
      </c>
      <c r="D152" s="122">
        <f>SUM('Quarterly Data 2001-2021'!K151:N151)/4</f>
        <v>1.4775E-2</v>
      </c>
      <c r="E152" s="122">
        <f>SUM('Quarterly Data 2001-2021'!O151:R151)/4</f>
        <v>1.635E-2</v>
      </c>
      <c r="F152" s="122">
        <f>SUM('Quarterly Data 2001-2021'!S151:V151)/4</f>
        <v>2.0400000000000001E-2</v>
      </c>
      <c r="G152" s="122">
        <f>SUM('Quarterly Data 2001-2021'!W151:Z151)/4</f>
        <v>2.7E-2</v>
      </c>
      <c r="H152" s="122">
        <f>SUM('Quarterly Data 2001-2021'!AA151:AD151)/4</f>
        <v>2.8300000000000002E-2</v>
      </c>
      <c r="I152" s="122">
        <f>SUM('Quarterly Data 2001-2021'!AE151:AH151)/4</f>
        <v>3.8500000000000006E-2</v>
      </c>
      <c r="J152" s="122">
        <f>SUM('Quarterly Data 2001-2021'!AI151:AL151)/4</f>
        <v>5.6750000000000002E-2</v>
      </c>
      <c r="K152" s="122">
        <f>SUM('Quarterly Data 2001-2021'!AM151:AP151)/4</f>
        <v>5.525E-2</v>
      </c>
      <c r="L152" s="122">
        <f>SUM('Quarterly Data 2001-2021'!AQ151:AT151)/4</f>
        <v>4.5999999999999999E-2</v>
      </c>
      <c r="M152" s="122">
        <f>SUM('Quarterly Data 2001-2021'!AU151:AX151)/4</f>
        <v>4.0999999999999995E-2</v>
      </c>
      <c r="N152" s="122">
        <f>SUM('Quarterly Data 2001-2021'!AY151:BB151)/4</f>
        <v>4.0750000000000001E-2</v>
      </c>
      <c r="O152" s="122">
        <f>SUM('Quarterly Data 2001-2021'!BC151:BF151)/4</f>
        <v>4.2249999999999996E-2</v>
      </c>
      <c r="P152" s="122">
        <f>SUM('Quarterly Data 2001-2021'!BG151:BJ151)/4</f>
        <v>6.3750000000000001E-2</v>
      </c>
      <c r="Q152" s="122">
        <f>SUM('Quarterly Data 2001-2021'!BK151:BN151)/4</f>
        <v>6.7961392744648477E-2</v>
      </c>
      <c r="R152" s="122">
        <f>SUM('Quarterly Data 2001-2021'!BO151:BR151)/4</f>
        <v>5.9082185401227776E-2</v>
      </c>
      <c r="S152" s="122">
        <f>SUM('Quarterly Data 2001-2021'!BS151:BV151)/4</f>
        <v>5.525E-2</v>
      </c>
      <c r="T152" s="122">
        <v>5.3999999999999999E-2</v>
      </c>
      <c r="U152" s="122">
        <v>8.5000000000000006E-2</v>
      </c>
      <c r="V152" s="88">
        <f t="shared" si="48"/>
        <v>5.9223841048812176E-2</v>
      </c>
    </row>
    <row r="153" spans="1:22" x14ac:dyDescent="0.2">
      <c r="A153" s="10"/>
      <c r="B153" s="223"/>
      <c r="C153" s="219"/>
      <c r="D153" s="219"/>
      <c r="E153" s="219"/>
      <c r="F153" s="219"/>
      <c r="G153" s="219"/>
      <c r="H153" s="219"/>
      <c r="I153" s="219"/>
      <c r="J153" s="219"/>
      <c r="K153" s="219"/>
      <c r="L153" s="219"/>
      <c r="M153" s="219"/>
      <c r="N153" s="219"/>
      <c r="O153" s="219"/>
      <c r="P153" s="219"/>
      <c r="Q153" s="219"/>
      <c r="R153" s="219"/>
      <c r="S153" s="220"/>
      <c r="T153" s="220"/>
      <c r="U153" s="220"/>
      <c r="V153" s="100"/>
    </row>
    <row r="154" spans="1:22" x14ac:dyDescent="0.2">
      <c r="A154" s="416" t="s">
        <v>190</v>
      </c>
      <c r="B154" s="76">
        <f>SUM('Quarterly Data 2001-2021'!C153:F153)</f>
        <v>134412</v>
      </c>
      <c r="C154" s="37">
        <f>SUM('Quarterly Data 2001-2021'!G153:J153)</f>
        <v>136251</v>
      </c>
      <c r="D154" s="37">
        <f>SUM('Quarterly Data 2001-2021'!K153:N153)</f>
        <v>168761</v>
      </c>
      <c r="E154" s="37">
        <f>SUM('Quarterly Data 2001-2021'!O153:R153)</f>
        <v>127658</v>
      </c>
      <c r="F154" s="37">
        <f>SUM('Quarterly Data 2001-2021'!S153:V153)</f>
        <v>168962</v>
      </c>
      <c r="G154" s="37">
        <f>SUM('Quarterly Data 2001-2021'!W153:Z153)</f>
        <v>152333</v>
      </c>
      <c r="H154" s="37">
        <f>SUM('Quarterly Data 2001-2021'!AA153:AD153)</f>
        <v>230265</v>
      </c>
      <c r="I154" s="37">
        <f>SUM('Quarterly Data 2001-2021'!AE153:AH153)</f>
        <v>221684</v>
      </c>
      <c r="J154" s="37">
        <f>SUM('Quarterly Data 2001-2021'!AI153:AL153)</f>
        <v>194485</v>
      </c>
      <c r="K154" s="37">
        <f>SUM('Quarterly Data 2001-2021'!AM153:AP153)</f>
        <v>165157</v>
      </c>
      <c r="L154" s="37">
        <f>SUM('Quarterly Data 2001-2021'!AQ153:AT153)</f>
        <v>137288</v>
      </c>
      <c r="M154" s="37">
        <f>SUM('Quarterly Data 2001-2021'!AU153:AX153)</f>
        <v>194047</v>
      </c>
      <c r="N154" s="37">
        <f>SUM('Quarterly Data 2001-2021'!AY153:BB153)</f>
        <v>200262.43492417817</v>
      </c>
      <c r="O154" s="37">
        <f>SUM('Quarterly Data 2001-2021'!BC153:BF153)</f>
        <v>240624</v>
      </c>
      <c r="P154" s="37">
        <f>SUM('Quarterly Data 2001-2021'!BG153:BJ153)</f>
        <v>284967</v>
      </c>
      <c r="Q154" s="37">
        <f>SUM('Quarterly Data 2001-2021'!BK153:BN153)</f>
        <v>258572</v>
      </c>
      <c r="R154" s="37">
        <f>SUM('Quarterly Data 2001-2021'!BO153:BR153)</f>
        <v>255302</v>
      </c>
      <c r="S154" s="37">
        <f>SUM('Quarterly Data 2001-2021'!BS153:BV153)</f>
        <v>237544</v>
      </c>
      <c r="T154" s="37">
        <f>SUM('Quarterly Data 2001-2021'!BW153:BZ153)</f>
        <v>227126</v>
      </c>
      <c r="U154" s="37">
        <f>SUM('Quarterly Data 2001-2021'!CA153:CD153)</f>
        <v>417139</v>
      </c>
      <c r="V154" s="256" t="s">
        <v>35</v>
      </c>
    </row>
    <row r="155" spans="1:22" x14ac:dyDescent="0.2">
      <c r="A155" s="417" t="s">
        <v>192</v>
      </c>
      <c r="B155" s="120" t="s">
        <v>35</v>
      </c>
      <c r="C155" s="119" t="s">
        <v>35</v>
      </c>
      <c r="D155" s="119">
        <f t="shared" ref="D155:U155" si="54">(D79+(D99-C99))/D154</f>
        <v>1.1264462760945953E-2</v>
      </c>
      <c r="E155" s="119">
        <f t="shared" si="54"/>
        <v>3.0579673815977062E-2</v>
      </c>
      <c r="F155" s="119">
        <f t="shared" si="54"/>
        <v>3.9135048117328153E-2</v>
      </c>
      <c r="G155" s="119">
        <f t="shared" si="54"/>
        <v>4.1160267309118842E-2</v>
      </c>
      <c r="H155" s="119">
        <f t="shared" si="54"/>
        <v>2.1774399061950365E-2</v>
      </c>
      <c r="I155" s="119">
        <f t="shared" si="54"/>
        <v>2.5770917161364825E-2</v>
      </c>
      <c r="J155" s="119">
        <f t="shared" si="54"/>
        <v>6.0765611743836288E-2</v>
      </c>
      <c r="K155" s="119">
        <f t="shared" si="54"/>
        <v>6.2377010965323901E-2</v>
      </c>
      <c r="L155" s="119">
        <f t="shared" si="54"/>
        <v>3.7541518559524506E-2</v>
      </c>
      <c r="M155" s="119">
        <f t="shared" si="54"/>
        <v>2.9266105634202025E-2</v>
      </c>
      <c r="N155" s="119">
        <f t="shared" si="54"/>
        <v>5.6540808585928894E-2</v>
      </c>
      <c r="O155" s="119">
        <f t="shared" si="54"/>
        <v>9.1947271440005904E-2</v>
      </c>
      <c r="P155" s="119">
        <f t="shared" si="54"/>
        <v>9.2570339375506711E-2</v>
      </c>
      <c r="Q155" s="119">
        <f t="shared" si="54"/>
        <v>0.10892435320220287</v>
      </c>
      <c r="R155" s="119">
        <f t="shared" si="54"/>
        <v>0.11011184177256737</v>
      </c>
      <c r="S155" s="119">
        <f t="shared" si="54"/>
        <v>0.11949703958968548</v>
      </c>
      <c r="T155" s="119">
        <f t="shared" si="54"/>
        <v>0.15567476452075071</v>
      </c>
      <c r="U155" s="119">
        <f t="shared" si="54"/>
        <v>0.1904598361046318</v>
      </c>
      <c r="V155" s="256" t="s">
        <v>35</v>
      </c>
    </row>
    <row r="156" spans="1:22" x14ac:dyDescent="0.2">
      <c r="A156" s="416" t="s">
        <v>191</v>
      </c>
      <c r="B156" s="76">
        <f>'Quarterly Data 2001-2021'!F156</f>
        <v>2673473</v>
      </c>
      <c r="C156" s="37">
        <f>'Quarterly Data 2001-2021'!J156</f>
        <v>2328033</v>
      </c>
      <c r="D156" s="37">
        <f>'Quarterly Data 2001-2021'!N156</f>
        <v>2606353</v>
      </c>
      <c r="E156" s="37">
        <f>'Quarterly Data 2001-2021'!R156</f>
        <v>2877525</v>
      </c>
      <c r="F156" s="37">
        <f>'Quarterly Data 2001-2021'!V156</f>
        <v>3332584</v>
      </c>
      <c r="G156" s="37">
        <f>'Quarterly Data 2001-2021'!Z156</f>
        <v>3644546</v>
      </c>
      <c r="H156" s="37">
        <f>'Quarterly Data 2001-2021'!AD156</f>
        <v>3750791</v>
      </c>
      <c r="I156" s="37">
        <f>'Quarterly Data 2001-2021'!AH156</f>
        <v>3109426</v>
      </c>
      <c r="J156" s="37">
        <f>'Quarterly Data 2001-2021'!AL156</f>
        <v>3713129</v>
      </c>
      <c r="K156" s="37">
        <f>'Quarterly Data 2001-2021'!AP156</f>
        <v>4357620</v>
      </c>
      <c r="L156" s="37">
        <f>'Quarterly Data 2001-2021'!AT156</f>
        <v>4265777</v>
      </c>
      <c r="M156" s="37">
        <f>'Quarterly Data 2001-2021'!AX156</f>
        <v>5017255.0199999996</v>
      </c>
      <c r="N156" s="37">
        <f>+'Quarterly Data 2001-2021'!BB156</f>
        <v>5320272.1883197799</v>
      </c>
      <c r="O156" s="37">
        <f>+'Quarterly Data 2001-2021'!BF156</f>
        <v>6270705</v>
      </c>
      <c r="P156" s="37">
        <f>+'Quarterly Data 2001-2021'!BJ156</f>
        <v>6792931</v>
      </c>
      <c r="Q156" s="37">
        <f>+'Quarterly Data 2001-2021'!BN156</f>
        <v>7227356</v>
      </c>
      <c r="R156" s="37">
        <f>+'Quarterly Data 2001-2021'!BR156</f>
        <v>7780980</v>
      </c>
      <c r="S156" s="37">
        <f>+'Quarterly Data 2001-2021'!BV156</f>
        <v>7935535</v>
      </c>
      <c r="T156" s="37">
        <f>+'Quarterly Data 2001-2021'!BZ156</f>
        <v>8996380</v>
      </c>
      <c r="U156" s="37">
        <f>+'Quarterly Data 2001-2021'!CD156</f>
        <v>9894279</v>
      </c>
      <c r="V156" s="88">
        <f t="shared" ref="V156:V157" si="55">+((U156/P156)^(1/5))-1</f>
        <v>7.81157481069783E-2</v>
      </c>
    </row>
    <row r="157" spans="1:22" x14ac:dyDescent="0.2">
      <c r="A157" s="403" t="s">
        <v>192</v>
      </c>
      <c r="B157" s="183">
        <f>'Quarterly Data 2001-2021'!F157</f>
        <v>3.211702530753069E-3</v>
      </c>
      <c r="C157" s="163">
        <f>'Quarterly Data 2001-2021'!J157</f>
        <v>2.9062732358175335E-3</v>
      </c>
      <c r="D157" s="163">
        <f>'Quarterly Data 2001-2021'!N157</f>
        <v>4.4142907733526505E-3</v>
      </c>
      <c r="E157" s="163">
        <f>'Quarterly Data 2001-2021'!R157</f>
        <v>6.0128061441690342E-3</v>
      </c>
      <c r="F157" s="163">
        <f>'Quarterly Data 2001-2021'!V157</f>
        <v>9.5629997623465756E-3</v>
      </c>
      <c r="G157" s="163">
        <f>'Quarterly Data 2001-2021'!Z157</f>
        <v>1.2491185459039341E-2</v>
      </c>
      <c r="H157" s="163">
        <f>'Quarterly Data 2001-2021'!AD157</f>
        <v>1.2847423383494308E-2</v>
      </c>
      <c r="I157" s="163">
        <f>'Quarterly Data 2001-2021'!AH157</f>
        <v>1.1546215282177481E-2</v>
      </c>
      <c r="J157" s="163">
        <f>'Quarterly Data 2001-2021'!AL157</f>
        <v>1.7350057054306488E-2</v>
      </c>
      <c r="K157" s="163">
        <f>'Quarterly Data 2001-2021'!AP157</f>
        <v>1.9710071093853986E-2</v>
      </c>
      <c r="L157" s="163">
        <f>'Quarterly Data 2001-2021'!AT157</f>
        <v>1.7999534434172251E-2</v>
      </c>
      <c r="M157" s="163">
        <f>'Quarterly Data 2001-2021'!AX157</f>
        <v>1.7672811058346404E-2</v>
      </c>
      <c r="N157" s="163">
        <f>+'Quarterly Data 2001-2021'!BB157</f>
        <v>2.1773510057308609E-2</v>
      </c>
      <c r="O157" s="163">
        <f>+'Quarterly Data 2001-2021'!BF157</f>
        <v>2.348630979179853E-2</v>
      </c>
      <c r="P157" s="163">
        <f>+'Quarterly Data 2001-2021'!BJ157</f>
        <v>2.9175799718691619E-2</v>
      </c>
      <c r="Q157" s="163">
        <f>+'Quarterly Data 2001-2021'!BN157</f>
        <v>3.3088864032711274E-2</v>
      </c>
      <c r="R157" s="163">
        <f>+'Quarterly Data 2001-2021'!BR157</f>
        <v>3.6361872808074583E-2</v>
      </c>
      <c r="S157" s="163">
        <f>+'Quarterly Data 2001-2021'!BV157</f>
        <v>3.7802026434438661E-2</v>
      </c>
      <c r="T157" s="163">
        <f>+'Quarterly Data 2001-2021'!BZ157</f>
        <v>4.5320309221295763E-2</v>
      </c>
      <c r="U157" s="163">
        <f>+'Quarterly Data 2001-2021'!CD157</f>
        <v>5.7660506966401022E-2</v>
      </c>
      <c r="V157" s="88">
        <f t="shared" si="55"/>
        <v>0.14596442966515011</v>
      </c>
    </row>
    <row r="158" spans="1:22" x14ac:dyDescent="0.2">
      <c r="A158" s="420"/>
      <c r="B158" s="448"/>
      <c r="C158" s="448"/>
      <c r="D158" s="448"/>
      <c r="E158" s="448"/>
      <c r="F158" s="448"/>
      <c r="G158" s="448"/>
      <c r="H158" s="448"/>
      <c r="I158" s="448"/>
      <c r="J158" s="448"/>
      <c r="K158" s="448"/>
      <c r="L158" s="421"/>
      <c r="M158" s="448"/>
      <c r="N158" s="448"/>
      <c r="O158" s="448"/>
      <c r="P158" s="448"/>
      <c r="Q158" s="448"/>
      <c r="R158" s="448"/>
      <c r="S158" s="448"/>
      <c r="T158" s="448"/>
      <c r="U158" s="448"/>
      <c r="V158" s="450"/>
    </row>
    <row r="159" spans="1:22" x14ac:dyDescent="0.2">
      <c r="A159" s="438" t="s">
        <v>193</v>
      </c>
      <c r="B159" s="260" t="str">
        <f>'Quarterly Data 2001-2021'!F160</f>
        <v>-</v>
      </c>
      <c r="C159" s="260" t="str">
        <f>'Quarterly Data 2001-2021'!J160</f>
        <v>-</v>
      </c>
      <c r="D159" s="260" t="str">
        <f>'Quarterly Data 2001-2021'!N160</f>
        <v>-</v>
      </c>
      <c r="E159" s="260" t="str">
        <f>'Quarterly Data 2001-2021'!R160</f>
        <v>-</v>
      </c>
      <c r="F159" s="260" t="str">
        <f>'Quarterly Data 2001-2021'!V160</f>
        <v>-</v>
      </c>
      <c r="G159" s="260" t="str">
        <f>'Quarterly Data 2001-2021'!Z160</f>
        <v>-</v>
      </c>
      <c r="H159" s="260" t="str">
        <f>'Quarterly Data 2001-2021'!AD160</f>
        <v>-</v>
      </c>
      <c r="I159" s="260" t="str">
        <f>'Quarterly Data 2001-2021'!AH160</f>
        <v>-</v>
      </c>
      <c r="J159" s="260" t="str">
        <f>'Quarterly Data 2001-2021'!AL160</f>
        <v>-</v>
      </c>
      <c r="K159" s="260" t="str">
        <f>'Quarterly Data 2001-2021'!AP160</f>
        <v>-</v>
      </c>
      <c r="L159" s="423" t="str">
        <f>'Quarterly Data 2001-2021'!AT160</f>
        <v>-</v>
      </c>
      <c r="M159" s="260" t="str">
        <f>'Quarterly Data 2001-2021'!AX160</f>
        <v>-</v>
      </c>
      <c r="N159" s="260" t="str">
        <f>+'Quarterly Data 2001-2021'!BB160</f>
        <v>-</v>
      </c>
      <c r="O159" s="260" t="str">
        <f>+'Quarterly Data 2001-2021'!BF160</f>
        <v>-</v>
      </c>
      <c r="P159" s="260" t="str">
        <f>+'Quarterly Data 2001-2021'!BJ160</f>
        <v>-</v>
      </c>
      <c r="Q159" s="260" t="str">
        <f>+'Quarterly Data 2001-2021'!BN160</f>
        <v>-</v>
      </c>
      <c r="R159" s="260" t="str">
        <f>+'Quarterly Data 2001-2021'!BR160</f>
        <v>-</v>
      </c>
      <c r="S159" s="260" t="str">
        <f>+'Quarterly Data 2001-2021'!BV160</f>
        <v>-</v>
      </c>
      <c r="T159" s="260" t="str">
        <f>+'Quarterly Data 2001-2021'!BZ160</f>
        <v>-</v>
      </c>
      <c r="U159" s="37">
        <f>+'Quarterly Data 2001-2021'!CD159</f>
        <v>273481.091434</v>
      </c>
      <c r="V159" s="451" t="s">
        <v>35</v>
      </c>
    </row>
    <row r="160" spans="1:22" x14ac:dyDescent="0.2">
      <c r="A160" s="416" t="s">
        <v>192</v>
      </c>
      <c r="B160" s="424" t="str">
        <f>'Quarterly Data 2001-2021'!F161</f>
        <v>-</v>
      </c>
      <c r="C160" s="260" t="str">
        <f>'Quarterly Data 2001-2021'!J161</f>
        <v>-</v>
      </c>
      <c r="D160" s="260" t="str">
        <f>'Quarterly Data 2001-2021'!N161</f>
        <v>-</v>
      </c>
      <c r="E160" s="260" t="str">
        <f>'Quarterly Data 2001-2021'!R161</f>
        <v>-</v>
      </c>
      <c r="F160" s="260" t="str">
        <f>'Quarterly Data 2001-2021'!V161</f>
        <v>-</v>
      </c>
      <c r="G160" s="260" t="str">
        <f>'Quarterly Data 2001-2021'!Z161</f>
        <v>-</v>
      </c>
      <c r="H160" s="260" t="str">
        <f>'Quarterly Data 2001-2021'!AD161</f>
        <v>-</v>
      </c>
      <c r="I160" s="260" t="str">
        <f>'Quarterly Data 2001-2021'!AH161</f>
        <v>-</v>
      </c>
      <c r="J160" s="260" t="str">
        <f>'Quarterly Data 2001-2021'!AL161</f>
        <v>-</v>
      </c>
      <c r="K160" s="260" t="str">
        <f>'Quarterly Data 2001-2021'!AP161</f>
        <v>-</v>
      </c>
      <c r="L160" s="260" t="str">
        <f>'Quarterly Data 2001-2021'!AT161</f>
        <v>-</v>
      </c>
      <c r="M160" s="260" t="str">
        <f>'Quarterly Data 2001-2021'!AX161</f>
        <v>-</v>
      </c>
      <c r="N160" s="260" t="str">
        <f>+'Quarterly Data 2001-2021'!BB161</f>
        <v>-</v>
      </c>
      <c r="O160" s="260" t="str">
        <f>+'Quarterly Data 2001-2021'!BF161</f>
        <v>-</v>
      </c>
      <c r="P160" s="260" t="str">
        <f>+'Quarterly Data 2001-2021'!BJ161</f>
        <v>-</v>
      </c>
      <c r="Q160" s="260" t="str">
        <f>+'Quarterly Data 2001-2021'!BN161</f>
        <v>-</v>
      </c>
      <c r="R160" s="260" t="str">
        <f>+'Quarterly Data 2001-2021'!BR161</f>
        <v>-</v>
      </c>
      <c r="S160" s="260" t="str">
        <f>+'Quarterly Data 2001-2021'!BV161</f>
        <v>-</v>
      </c>
      <c r="T160" s="260" t="str">
        <f>+'Quarterly Data 2001-2021'!BZ161</f>
        <v>-</v>
      </c>
      <c r="U160" s="163">
        <f>'Quarterly Data 2001-2021'!CE160</f>
        <v>0.11899999999999999</v>
      </c>
      <c r="V160" s="451" t="s">
        <v>35</v>
      </c>
    </row>
    <row r="161" spans="1:24" x14ac:dyDescent="0.2">
      <c r="A161" s="417" t="s">
        <v>206</v>
      </c>
      <c r="B161" s="424" t="str">
        <f>'Quarterly Data 2001-2021'!F162</f>
        <v>-</v>
      </c>
      <c r="C161" s="260" t="str">
        <f>'Quarterly Data 2001-2021'!J162</f>
        <v>-</v>
      </c>
      <c r="D161" s="260" t="str">
        <f>'Quarterly Data 2001-2021'!N162</f>
        <v>-</v>
      </c>
      <c r="E161" s="260" t="str">
        <f>'Quarterly Data 2001-2021'!R162</f>
        <v>-</v>
      </c>
      <c r="F161" s="260" t="str">
        <f>'Quarterly Data 2001-2021'!V162</f>
        <v>-</v>
      </c>
      <c r="G161" s="260" t="str">
        <f>'Quarterly Data 2001-2021'!Z162</f>
        <v>-</v>
      </c>
      <c r="H161" s="260" t="str">
        <f>'Quarterly Data 2001-2021'!AD162</f>
        <v>-</v>
      </c>
      <c r="I161" s="260" t="str">
        <f>'Quarterly Data 2001-2021'!AH162</f>
        <v>-</v>
      </c>
      <c r="J161" s="260" t="str">
        <f>'Quarterly Data 2001-2021'!AL162</f>
        <v>-</v>
      </c>
      <c r="K161" s="260" t="str">
        <f>'Quarterly Data 2001-2021'!AP162</f>
        <v>-</v>
      </c>
      <c r="L161" s="260" t="str">
        <f>'Quarterly Data 2001-2021'!AT162</f>
        <v>-</v>
      </c>
      <c r="M161" s="260" t="str">
        <f>'Quarterly Data 2001-2021'!AX162</f>
        <v>-</v>
      </c>
      <c r="N161" s="260" t="str">
        <f>+'Quarterly Data 2001-2021'!BB162</f>
        <v>-</v>
      </c>
      <c r="O161" s="260" t="str">
        <f>+'Quarterly Data 2001-2021'!BF162</f>
        <v>-</v>
      </c>
      <c r="P161" s="260" t="str">
        <f>+'Quarterly Data 2001-2021'!BJ162</f>
        <v>-</v>
      </c>
      <c r="Q161" s="260" t="str">
        <f>+'Quarterly Data 2001-2021'!BN162</f>
        <v>-</v>
      </c>
      <c r="R161" s="260" t="str">
        <f>+'Quarterly Data 2001-2021'!BR162</f>
        <v>-</v>
      </c>
      <c r="S161" s="260" t="str">
        <f>+'Quarterly Data 2001-2021'!BV162</f>
        <v>-</v>
      </c>
      <c r="T161" s="260" t="str">
        <f>+'Quarterly Data 2001-2021'!BZ162</f>
        <v>-</v>
      </c>
      <c r="U161" s="37">
        <f>+'Quarterly Data 2001-2021'!CD161</f>
        <v>47482.459715149998</v>
      </c>
      <c r="V161" s="451" t="s">
        <v>35</v>
      </c>
    </row>
    <row r="162" spans="1:24" x14ac:dyDescent="0.2">
      <c r="A162" s="418" t="s">
        <v>192</v>
      </c>
      <c r="B162" s="489" t="s">
        <v>50</v>
      </c>
      <c r="C162" s="489" t="s">
        <v>50</v>
      </c>
      <c r="D162" s="489" t="s">
        <v>50</v>
      </c>
      <c r="E162" s="489" t="s">
        <v>50</v>
      </c>
      <c r="F162" s="489" t="s">
        <v>50</v>
      </c>
      <c r="G162" s="489" t="s">
        <v>50</v>
      </c>
      <c r="H162" s="489" t="s">
        <v>50</v>
      </c>
      <c r="I162" s="489" t="s">
        <v>50</v>
      </c>
      <c r="J162" s="489" t="s">
        <v>50</v>
      </c>
      <c r="K162" s="489" t="s">
        <v>50</v>
      </c>
      <c r="L162" s="489" t="s">
        <v>50</v>
      </c>
      <c r="M162" s="489" t="s">
        <v>50</v>
      </c>
      <c r="N162" s="489" t="s">
        <v>50</v>
      </c>
      <c r="O162" s="489" t="s">
        <v>50</v>
      </c>
      <c r="P162" s="489" t="s">
        <v>50</v>
      </c>
      <c r="Q162" s="489" t="s">
        <v>50</v>
      </c>
      <c r="R162" s="489" t="s">
        <v>50</v>
      </c>
      <c r="S162" s="489" t="s">
        <v>50</v>
      </c>
      <c r="T162" s="489" t="s">
        <v>50</v>
      </c>
      <c r="U162" s="163">
        <f>+'Quarterly Data 2001-2021'!CD162</f>
        <v>7.2400000000000006E-2</v>
      </c>
      <c r="V162" s="450" t="s">
        <v>35</v>
      </c>
      <c r="X162" s="466"/>
    </row>
    <row r="163" spans="1:24" ht="15" x14ac:dyDescent="0.2">
      <c r="A163" s="418" t="s">
        <v>235</v>
      </c>
      <c r="B163" s="487"/>
      <c r="C163" s="488"/>
      <c r="D163" s="488"/>
      <c r="E163" s="488"/>
      <c r="F163" s="488"/>
      <c r="G163" s="488"/>
      <c r="H163" s="488"/>
      <c r="I163" s="488"/>
      <c r="J163" s="488"/>
      <c r="K163" s="488"/>
      <c r="L163" s="488"/>
      <c r="M163" s="488"/>
      <c r="N163" s="488"/>
      <c r="O163" s="488"/>
      <c r="P163" s="488"/>
      <c r="Q163" s="488"/>
      <c r="R163" s="488"/>
      <c r="S163" s="488"/>
      <c r="T163" s="37">
        <v>817894.37126799999</v>
      </c>
      <c r="U163" s="490" t="s">
        <v>244</v>
      </c>
      <c r="V163" s="450" t="s">
        <v>35</v>
      </c>
      <c r="X163" s="466"/>
    </row>
    <row r="164" spans="1:24" x14ac:dyDescent="0.2">
      <c r="A164" s="442" t="s">
        <v>192</v>
      </c>
      <c r="B164" s="443"/>
      <c r="C164" s="444"/>
      <c r="D164" s="444"/>
      <c r="E164" s="444"/>
      <c r="F164" s="444"/>
      <c r="G164" s="444"/>
      <c r="H164" s="444"/>
      <c r="I164" s="444"/>
      <c r="J164" s="444"/>
      <c r="K164" s="444"/>
      <c r="L164" s="444"/>
      <c r="M164" s="444"/>
      <c r="N164" s="444"/>
      <c r="O164" s="444"/>
      <c r="P164" s="444"/>
      <c r="Q164" s="444"/>
      <c r="R164" s="444"/>
      <c r="S164" s="444"/>
      <c r="T164" s="391">
        <v>3.27E-2</v>
      </c>
      <c r="U164" s="491" t="s">
        <v>244</v>
      </c>
      <c r="V164" s="452" t="s">
        <v>35</v>
      </c>
      <c r="X164" s="466"/>
    </row>
    <row r="165" spans="1:24" x14ac:dyDescent="0.2">
      <c r="A165" s="422"/>
      <c r="B165" s="421"/>
      <c r="C165" s="421"/>
      <c r="D165" s="421"/>
      <c r="E165" s="421"/>
      <c r="F165" s="421"/>
      <c r="G165" s="421"/>
      <c r="H165" s="421"/>
      <c r="I165" s="421"/>
      <c r="J165" s="421"/>
      <c r="K165" s="421"/>
      <c r="L165" s="421"/>
      <c r="M165" s="421"/>
      <c r="N165" s="421"/>
      <c r="O165" s="421"/>
      <c r="P165" s="421"/>
      <c r="Q165" s="421"/>
      <c r="R165" s="421"/>
      <c r="S165" s="421"/>
      <c r="T165" s="421"/>
      <c r="U165" s="421"/>
      <c r="V165" s="421"/>
    </row>
    <row r="166" spans="1:24" x14ac:dyDescent="0.2">
      <c r="A166" s="238" t="s">
        <v>133</v>
      </c>
      <c r="B166" s="188"/>
      <c r="C166" s="188"/>
      <c r="D166" s="188"/>
      <c r="E166" s="188"/>
      <c r="F166" s="188"/>
      <c r="G166" s="188"/>
      <c r="H166" s="188"/>
      <c r="I166" s="188"/>
      <c r="J166" s="188"/>
      <c r="K166" s="188"/>
      <c r="L166" s="188"/>
      <c r="M166" s="188"/>
      <c r="N166" s="188"/>
      <c r="O166" s="188"/>
      <c r="P166" s="188"/>
      <c r="Q166" s="188"/>
      <c r="R166" s="188"/>
      <c r="S166" s="188"/>
      <c r="T166" s="188"/>
      <c r="U166" s="188"/>
      <c r="V166" s="188"/>
    </row>
    <row r="167" spans="1:24" ht="15" x14ac:dyDescent="0.2">
      <c r="A167" s="4" t="s">
        <v>250</v>
      </c>
      <c r="B167" s="188"/>
      <c r="C167" s="188"/>
      <c r="D167" s="188"/>
      <c r="E167" s="188"/>
      <c r="F167" s="188"/>
      <c r="G167" s="188"/>
      <c r="H167" s="188"/>
      <c r="I167" s="188"/>
      <c r="J167" s="188"/>
      <c r="K167" s="188"/>
      <c r="L167" s="4"/>
      <c r="M167" s="188"/>
      <c r="N167" s="188"/>
      <c r="O167" s="188"/>
      <c r="P167" s="188"/>
      <c r="Q167" s="188"/>
      <c r="R167" s="188"/>
      <c r="S167" s="188"/>
      <c r="T167" s="188"/>
      <c r="U167" s="188"/>
      <c r="V167" s="188"/>
    </row>
    <row r="168" spans="1:24" ht="15" x14ac:dyDescent="0.2">
      <c r="A168" s="4" t="s">
        <v>227</v>
      </c>
      <c r="B168" s="188"/>
      <c r="C168" s="188"/>
      <c r="D168" s="188"/>
      <c r="E168" s="188"/>
      <c r="F168" s="188"/>
      <c r="G168" s="188"/>
      <c r="H168" s="188"/>
      <c r="I168" s="188"/>
      <c r="J168" s="188"/>
      <c r="K168" s="188"/>
      <c r="L168" s="4"/>
      <c r="M168" s="188"/>
      <c r="N168" s="188"/>
      <c r="O168" s="188"/>
      <c r="P168" s="188"/>
      <c r="Q168" s="188"/>
      <c r="R168" s="188"/>
      <c r="S168" s="188"/>
      <c r="T168" s="188"/>
      <c r="U168" s="188"/>
      <c r="V168" s="188"/>
    </row>
    <row r="169" spans="1:24" ht="15" x14ac:dyDescent="0.2">
      <c r="A169" s="190" t="s">
        <v>239</v>
      </c>
      <c r="B169" s="188"/>
      <c r="C169"/>
      <c r="D169" s="188"/>
      <c r="E169" s="188"/>
      <c r="F169" s="188"/>
      <c r="G169" s="188"/>
      <c r="H169" s="188"/>
      <c r="I169" s="188"/>
      <c r="J169" s="188"/>
      <c r="K169" s="188"/>
      <c r="L169" s="188"/>
      <c r="M169" s="188"/>
      <c r="N169" s="188"/>
      <c r="O169" s="188"/>
      <c r="P169" s="188"/>
      <c r="Q169" s="188"/>
      <c r="R169" s="188"/>
      <c r="S169" s="188"/>
      <c r="T169" s="188"/>
      <c r="U169" s="188"/>
      <c r="V169" s="188"/>
    </row>
    <row r="170" spans="1:24" ht="53.25" customHeight="1" x14ac:dyDescent="0.2">
      <c r="A170" s="486" t="s">
        <v>241</v>
      </c>
      <c r="L170" s="190"/>
    </row>
    <row r="171" spans="1:24" ht="15" x14ac:dyDescent="0.2">
      <c r="A171" s="190" t="s">
        <v>245</v>
      </c>
      <c r="L171" s="190"/>
    </row>
    <row r="172" spans="1:24" ht="15" x14ac:dyDescent="0.2">
      <c r="A172" s="190" t="s">
        <v>228</v>
      </c>
      <c r="L172" s="103"/>
    </row>
    <row r="173" spans="1:24" ht="15" x14ac:dyDescent="0.2">
      <c r="A173" s="4" t="s">
        <v>229</v>
      </c>
      <c r="L173" s="4"/>
    </row>
    <row r="174" spans="1:24" ht="40.5" x14ac:dyDescent="0.2">
      <c r="A174" s="486" t="s">
        <v>246</v>
      </c>
    </row>
    <row r="175" spans="1:24" ht="15" x14ac:dyDescent="0.2">
      <c r="A175" s="190"/>
    </row>
    <row r="176" spans="1:24" ht="15" x14ac:dyDescent="0.2">
      <c r="A176" s="190"/>
    </row>
  </sheetData>
  <pageMargins left="0.23622047244094491" right="0.23622047244094491" top="0.74803149606299213" bottom="0.74803149606299213" header="0.31496062992125984" footer="0.31496062992125984"/>
  <pageSetup paperSize="8" scale="79" fitToHeight="0" orientation="landscape" r:id="rId1"/>
  <headerFooter>
    <oddFooter>&amp;R&amp;P (&amp;N)</oddFooter>
  </headerFooter>
  <rowBreaks count="2" manualBreakCount="2">
    <brk id="80" max="16383" man="1"/>
    <brk id="137" max="16383" man="1"/>
  </rowBreaks>
  <ignoredErrors>
    <ignoredError sqref="B10:R11 B17:R17 B12:P12 V38 V40 B45:R46 B38:M38 B33:S36 B40:R40 R57:S57 B39:N39 T33:T35 B37:N37 P37:R37 B21:T22 V21:V22" formulaRange="1"/>
  </ignoredErrors>
  <legacy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Quarterly Data 2001-2021</vt:lpstr>
      <vt:lpstr>Annual Data 2001-2020</vt:lpstr>
      <vt:lpstr>'Annual Data 2001-2020'!Print_Area</vt:lpstr>
      <vt:lpstr>'Quarterly Data 2001-2021'!Print_Area</vt:lpstr>
      <vt:lpstr>'Annual Data 2001-2020'!Print_Titles</vt:lpstr>
      <vt:lpstr>'Quarterly Data 2001-2021'!Print_Titles</vt:lpstr>
    </vt:vector>
  </TitlesOfParts>
  <Company>Bankaktiebolaget Avanza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Samuelsson</dc:creator>
  <cp:lastModifiedBy>Elin Emfeldt</cp:lastModifiedBy>
  <cp:lastPrinted>2021-07-13T17:51:05Z</cp:lastPrinted>
  <dcterms:created xsi:type="dcterms:W3CDTF">2007-08-28T11:03:25Z</dcterms:created>
  <dcterms:modified xsi:type="dcterms:W3CDTF">2021-07-14T05:31:03Z</dcterms:modified>
</cp:coreProperties>
</file>